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filterPrivacy="1"/>
  <xr:revisionPtr revIDLastSave="0" documentId="8_{78963779-DD93-4F93-A267-04CFE497167A}" xr6:coauthVersionLast="47" xr6:coauthVersionMax="47" xr10:uidLastSave="{00000000-0000-0000-0000-000000000000}"/>
  <bookViews>
    <workbookView xWindow="-120" yWindow="-120" windowWidth="24240" windowHeight="13140" xr2:uid="{00000000-000D-0000-FFFF-FFFF00000000}"/>
  </bookViews>
  <sheets>
    <sheet name="試算表" sheetId="8" r:id="rId1"/>
    <sheet name="計算表" sheetId="11" state="hidden" r:id="rId2"/>
    <sheet name="給与所得表" sheetId="5" state="hidden" r:id="rId3"/>
    <sheet name="年金所得表" sheetId="6" state="hidden" r:id="rId4"/>
  </sheets>
  <definedNames>
    <definedName name="_xlnm.Print_Area" localSheetId="0">試算表!$A$1:$J$47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9" i="11" l="1"/>
  <c r="E20" i="11"/>
  <c r="F51" i="11" l="1"/>
  <c r="F31" i="11"/>
  <c r="F52" i="11"/>
  <c r="F50" i="11"/>
  <c r="F49" i="11"/>
  <c r="F48" i="11"/>
  <c r="F47" i="11"/>
  <c r="F46" i="11"/>
  <c r="F45" i="11"/>
  <c r="F44" i="11"/>
  <c r="F43" i="11"/>
  <c r="F30" i="11"/>
  <c r="F29" i="11"/>
  <c r="E23" i="11"/>
  <c r="D24" i="11"/>
  <c r="D45" i="11" s="1"/>
  <c r="G23" i="11"/>
  <c r="F23" i="11"/>
  <c r="E22" i="11"/>
  <c r="C23" i="11"/>
  <c r="G22" i="11"/>
  <c r="E21" i="11"/>
  <c r="C22" i="11"/>
  <c r="G21" i="11"/>
  <c r="C21" i="11"/>
  <c r="G20" i="11"/>
  <c r="E19" i="11"/>
  <c r="D38" i="11" s="1"/>
  <c r="C20" i="11"/>
  <c r="I45" i="8"/>
  <c r="I44" i="8"/>
  <c r="I43" i="8"/>
  <c r="K4" i="6"/>
  <c r="G24" i="11" l="1"/>
  <c r="D29" i="11" s="1"/>
  <c r="E40" i="11"/>
  <c r="D37" i="11"/>
  <c r="D51" i="11" s="1"/>
  <c r="C19" i="11"/>
  <c r="D39" i="11"/>
  <c r="E38" i="11"/>
  <c r="I36" i="8"/>
  <c r="J23" i="11" s="1"/>
  <c r="I35" i="8"/>
  <c r="J22" i="11" s="1"/>
  <c r="I34" i="8"/>
  <c r="J21" i="11" s="1"/>
  <c r="I33" i="8"/>
  <c r="J20" i="11" s="1"/>
  <c r="I32" i="8"/>
  <c r="J19" i="11" s="1"/>
  <c r="D40" i="8" l="1"/>
  <c r="J29" i="8"/>
  <c r="D28" i="11"/>
  <c r="D30" i="11"/>
  <c r="D48" i="11"/>
  <c r="D44" i="11"/>
  <c r="D36" i="11"/>
  <c r="M3" i="6"/>
  <c r="L3" i="6"/>
  <c r="K3" i="6"/>
  <c r="J3" i="6"/>
  <c r="I3" i="6"/>
  <c r="M4" i="6"/>
  <c r="L4" i="6"/>
  <c r="J4" i="6"/>
  <c r="I4" i="6"/>
  <c r="J3" i="5"/>
  <c r="I3" i="5"/>
  <c r="H3" i="5"/>
  <c r="G3" i="5"/>
  <c r="F3" i="5"/>
  <c r="M10" i="6" l="1"/>
  <c r="M16" i="6"/>
  <c r="G10" i="5"/>
  <c r="G14" i="5"/>
  <c r="L10" i="6"/>
  <c r="L16" i="6"/>
  <c r="H12" i="5"/>
  <c r="H14" i="5"/>
  <c r="F10" i="5"/>
  <c r="F14" i="5"/>
  <c r="I12" i="5"/>
  <c r="I14" i="5"/>
  <c r="J12" i="5"/>
  <c r="J14" i="5"/>
  <c r="I10" i="6"/>
  <c r="I16" i="6"/>
  <c r="J16" i="6"/>
  <c r="J10" i="6"/>
  <c r="K10" i="6"/>
  <c r="K16" i="6"/>
  <c r="H10" i="5"/>
  <c r="I10" i="5"/>
  <c r="I11" i="5"/>
  <c r="J10" i="5"/>
  <c r="H11" i="5"/>
  <c r="J11" i="5"/>
  <c r="G11" i="5"/>
  <c r="G12" i="5"/>
  <c r="F11" i="5"/>
  <c r="F12" i="5"/>
  <c r="E15" i="6" l="1"/>
  <c r="E14" i="6"/>
  <c r="E13" i="6"/>
  <c r="E12" i="6"/>
  <c r="E11" i="6"/>
  <c r="E9" i="6"/>
  <c r="I9" i="6" s="1"/>
  <c r="E8" i="6"/>
  <c r="E7" i="6"/>
  <c r="E6" i="6"/>
  <c r="E5" i="6"/>
  <c r="J13" i="5"/>
  <c r="I13" i="5"/>
  <c r="J9" i="5"/>
  <c r="H9" i="5"/>
  <c r="G9" i="5"/>
  <c r="J8" i="5"/>
  <c r="J7" i="5"/>
  <c r="I7" i="5"/>
  <c r="F7" i="5"/>
  <c r="J6" i="5"/>
  <c r="I6" i="5"/>
  <c r="J5" i="5"/>
  <c r="I5" i="5"/>
  <c r="J4" i="5"/>
  <c r="I4" i="5"/>
  <c r="H4" i="5"/>
  <c r="F4" i="5"/>
  <c r="I8" i="5"/>
  <c r="H6" i="5"/>
  <c r="J7" i="6" l="1"/>
  <c r="L7" i="6"/>
  <c r="K7" i="6"/>
  <c r="M7" i="6"/>
  <c r="L9" i="6"/>
  <c r="J9" i="6"/>
  <c r="K9" i="6"/>
  <c r="M9" i="6"/>
  <c r="K11" i="6"/>
  <c r="L11" i="6"/>
  <c r="J11" i="6"/>
  <c r="M11" i="6"/>
  <c r="J13" i="6"/>
  <c r="K13" i="6"/>
  <c r="M13" i="6"/>
  <c r="L13" i="6"/>
  <c r="I13" i="6"/>
  <c r="L8" i="6"/>
  <c r="M8" i="6"/>
  <c r="J8" i="6"/>
  <c r="K8" i="6"/>
  <c r="L5" i="6"/>
  <c r="M5" i="6"/>
  <c r="J5" i="6"/>
  <c r="K5" i="6"/>
  <c r="J14" i="6"/>
  <c r="L14" i="6"/>
  <c r="I14" i="6"/>
  <c r="M14" i="6"/>
  <c r="K14" i="6"/>
  <c r="K12" i="6"/>
  <c r="M12" i="6"/>
  <c r="I12" i="6"/>
  <c r="L12" i="6"/>
  <c r="J12" i="6"/>
  <c r="M6" i="6"/>
  <c r="L6" i="6"/>
  <c r="J6" i="6"/>
  <c r="I6" i="6"/>
  <c r="K6" i="6"/>
  <c r="I15" i="6"/>
  <c r="L15" i="6"/>
  <c r="K15" i="6"/>
  <c r="J15" i="6"/>
  <c r="M15" i="6"/>
  <c r="J15" i="5"/>
  <c r="G36" i="8" s="1"/>
  <c r="G4" i="5"/>
  <c r="F9" i="5"/>
  <c r="G7" i="5"/>
  <c r="I9" i="5"/>
  <c r="F5" i="5"/>
  <c r="H7" i="5"/>
  <c r="I8" i="6"/>
  <c r="G5" i="5"/>
  <c r="H5" i="5"/>
  <c r="F8" i="5"/>
  <c r="G8" i="5"/>
  <c r="F13" i="5"/>
  <c r="F6" i="5"/>
  <c r="H8" i="5"/>
  <c r="G13" i="5"/>
  <c r="I11" i="6"/>
  <c r="G6" i="5"/>
  <c r="H13" i="5"/>
  <c r="I5" i="6"/>
  <c r="I7" i="6"/>
  <c r="I15" i="5" l="1"/>
  <c r="G35" i="8" s="1"/>
  <c r="L17" i="6"/>
  <c r="H35" i="8" s="1"/>
  <c r="I22" i="11" s="1"/>
  <c r="I17" i="6"/>
  <c r="H32" i="8" s="1"/>
  <c r="I19" i="11" s="1"/>
  <c r="H15" i="5"/>
  <c r="G34" i="8" s="1"/>
  <c r="F15" i="5"/>
  <c r="G32" i="8" s="1"/>
  <c r="M17" i="6"/>
  <c r="H36" i="8" s="1"/>
  <c r="I23" i="11" s="1"/>
  <c r="J17" i="6"/>
  <c r="H33" i="8" s="1"/>
  <c r="I20" i="11" s="1"/>
  <c r="K17" i="6"/>
  <c r="H34" i="8" s="1"/>
  <c r="I21" i="11" s="1"/>
  <c r="G15" i="5"/>
  <c r="G33" i="8" s="1"/>
  <c r="D23" i="11" l="1"/>
  <c r="H23" i="11" s="1"/>
  <c r="K23" i="11" s="1"/>
  <c r="D19" i="11"/>
  <c r="D20" i="11"/>
  <c r="H20" i="11" s="1"/>
  <c r="K20" i="11" s="1"/>
  <c r="D22" i="11"/>
  <c r="J35" i="8" s="1"/>
  <c r="F22" i="11" s="1"/>
  <c r="D21" i="11"/>
  <c r="J34" i="8" s="1"/>
  <c r="F21" i="11" s="1"/>
  <c r="H19" i="11" l="1"/>
  <c r="K19" i="11" s="1"/>
  <c r="E37" i="11" s="1"/>
  <c r="J36" i="8"/>
  <c r="H21" i="11"/>
  <c r="K21" i="11" s="1"/>
  <c r="H22" i="11"/>
  <c r="K22" i="11" s="1"/>
  <c r="E39" i="11" s="1"/>
  <c r="J32" i="8"/>
  <c r="F19" i="11" s="1"/>
  <c r="E36" i="11" l="1"/>
  <c r="K24" i="11" s="1"/>
  <c r="J33" i="8"/>
  <c r="F20" i="11" s="1"/>
  <c r="F39" i="11" l="1"/>
  <c r="F38" i="11"/>
  <c r="F37" i="11"/>
  <c r="D50" i="11" s="1"/>
  <c r="D52" i="11" s="1"/>
  <c r="E54" i="11"/>
  <c r="E48" i="11"/>
  <c r="E45" i="11"/>
  <c r="E44" i="11"/>
  <c r="E51" i="11"/>
  <c r="E50" i="11" l="1"/>
  <c r="E52" i="11" s="1"/>
  <c r="F36" i="11"/>
  <c r="F44" i="8"/>
  <c r="F45" i="8"/>
  <c r="F43" i="8"/>
  <c r="G43" i="8"/>
  <c r="D47" i="11" l="1"/>
  <c r="D49" i="11" s="1"/>
  <c r="D43" i="11"/>
  <c r="D46" i="11" s="1"/>
  <c r="E45" i="8"/>
  <c r="H45" i="8"/>
  <c r="D53" i="11" l="1"/>
  <c r="E47" i="11"/>
  <c r="E49" i="11" s="1"/>
  <c r="H44" i="8" s="1"/>
  <c r="E44" i="8"/>
  <c r="E43" i="11"/>
  <c r="E43" i="8" s="1"/>
  <c r="E46" i="11" l="1"/>
  <c r="E55" i="11" s="1"/>
  <c r="H43" i="8" l="1"/>
  <c r="E56" i="11"/>
  <c r="H47" i="8" s="1"/>
  <c r="H46" i="8"/>
</calcChain>
</file>

<file path=xl/sharedStrings.xml><?xml version="1.0" encoding="utf-8"?>
<sst xmlns="http://schemas.openxmlformats.org/spreadsheetml/2006/main" count="208" uniqueCount="161">
  <si>
    <t>No</t>
    <phoneticPr fontId="2"/>
  </si>
  <si>
    <t>年齢</t>
    <rPh sb="0" eb="2">
      <t>ネンレイ</t>
    </rPh>
    <phoneticPr fontId="2"/>
  </si>
  <si>
    <t>所得割の元となる額</t>
    <rPh sb="0" eb="2">
      <t>ショトク</t>
    </rPh>
    <rPh sb="2" eb="3">
      <t>ワリ</t>
    </rPh>
    <rPh sb="4" eb="5">
      <t>モト</t>
    </rPh>
    <rPh sb="8" eb="9">
      <t>ガク</t>
    </rPh>
    <phoneticPr fontId="2"/>
  </si>
  <si>
    <t>医療分</t>
    <rPh sb="0" eb="2">
      <t>イリョウ</t>
    </rPh>
    <rPh sb="2" eb="3">
      <t>ブン</t>
    </rPh>
    <phoneticPr fontId="2"/>
  </si>
  <si>
    <t>後期支援分</t>
    <rPh sb="0" eb="2">
      <t>コウキ</t>
    </rPh>
    <rPh sb="2" eb="4">
      <t>シエン</t>
    </rPh>
    <rPh sb="4" eb="5">
      <t>ブン</t>
    </rPh>
    <phoneticPr fontId="2"/>
  </si>
  <si>
    <t>介護分</t>
    <rPh sb="0" eb="2">
      <t>カイゴ</t>
    </rPh>
    <rPh sb="2" eb="3">
      <t>ブン</t>
    </rPh>
    <phoneticPr fontId="2"/>
  </si>
  <si>
    <t>所得割</t>
    <rPh sb="0" eb="2">
      <t>ショトク</t>
    </rPh>
    <rPh sb="2" eb="3">
      <t>ワリ</t>
    </rPh>
    <phoneticPr fontId="2"/>
  </si>
  <si>
    <t>均等割</t>
    <rPh sb="0" eb="2">
      <t>キントウ</t>
    </rPh>
    <rPh sb="2" eb="3">
      <t>ワリ</t>
    </rPh>
    <phoneticPr fontId="2"/>
  </si>
  <si>
    <t>平等割</t>
    <rPh sb="0" eb="2">
      <t>ビョウドウ</t>
    </rPh>
    <rPh sb="2" eb="3">
      <t>ワリ</t>
    </rPh>
    <phoneticPr fontId="2"/>
  </si>
  <si>
    <t>合計</t>
    <rPh sb="0" eb="2">
      <t>ゴウケイ</t>
    </rPh>
    <phoneticPr fontId="2"/>
  </si>
  <si>
    <t>年齢区分</t>
    <rPh sb="0" eb="2">
      <t>ネンレイ</t>
    </rPh>
    <rPh sb="2" eb="4">
      <t>クブン</t>
    </rPh>
    <phoneticPr fontId="2"/>
  </si>
  <si>
    <t>40~64歳の人</t>
    <rPh sb="5" eb="6">
      <t>サイ</t>
    </rPh>
    <rPh sb="7" eb="8">
      <t>ヒト</t>
    </rPh>
    <phoneticPr fontId="2"/>
  </si>
  <si>
    <t>6歳未満の人</t>
    <rPh sb="1" eb="2">
      <t>サイ</t>
    </rPh>
    <rPh sb="2" eb="4">
      <t>ミマン</t>
    </rPh>
    <rPh sb="5" eb="6">
      <t>ヒト</t>
    </rPh>
    <phoneticPr fontId="2"/>
  </si>
  <si>
    <t>その他の人</t>
    <rPh sb="2" eb="3">
      <t>ホカ</t>
    </rPh>
    <rPh sb="4" eb="5">
      <t>ヒト</t>
    </rPh>
    <phoneticPr fontId="2"/>
  </si>
  <si>
    <t>…A</t>
    <phoneticPr fontId="2"/>
  </si>
  <si>
    <t>…B</t>
    <phoneticPr fontId="2"/>
  </si>
  <si>
    <t>保険料額</t>
    <rPh sb="0" eb="3">
      <t>ホケンリョウ</t>
    </rPh>
    <rPh sb="3" eb="4">
      <t>ガク</t>
    </rPh>
    <phoneticPr fontId="2"/>
  </si>
  <si>
    <t>説明</t>
    <rPh sb="0" eb="2">
      <t>セツメイ</t>
    </rPh>
    <phoneticPr fontId="2"/>
  </si>
  <si>
    <t>年間保険料額</t>
    <rPh sb="0" eb="2">
      <t>ネンカン</t>
    </rPh>
    <rPh sb="2" eb="5">
      <t>ホケンリョウ</t>
    </rPh>
    <rPh sb="5" eb="6">
      <t>ガク</t>
    </rPh>
    <phoneticPr fontId="2"/>
  </si>
  <si>
    <t>医療分合計</t>
    <rPh sb="0" eb="2">
      <t>イリョウ</t>
    </rPh>
    <rPh sb="2" eb="3">
      <t>ブン</t>
    </rPh>
    <rPh sb="3" eb="5">
      <t>ゴウケイ</t>
    </rPh>
    <phoneticPr fontId="2"/>
  </si>
  <si>
    <t>後期支援分合計</t>
    <rPh sb="0" eb="2">
      <t>コウキ</t>
    </rPh>
    <rPh sb="2" eb="4">
      <t>シエン</t>
    </rPh>
    <rPh sb="4" eb="5">
      <t>ブン</t>
    </rPh>
    <rPh sb="5" eb="7">
      <t>ゴウケイ</t>
    </rPh>
    <phoneticPr fontId="2"/>
  </si>
  <si>
    <t>介護分合計</t>
    <rPh sb="0" eb="2">
      <t>カイゴ</t>
    </rPh>
    <rPh sb="2" eb="3">
      <t>ブン</t>
    </rPh>
    <rPh sb="3" eb="5">
      <t>ゴウケイ</t>
    </rPh>
    <phoneticPr fontId="2"/>
  </si>
  <si>
    <t>給与所得者等</t>
    <rPh sb="0" eb="2">
      <t>キュウヨ</t>
    </rPh>
    <rPh sb="2" eb="4">
      <t>ショトク</t>
    </rPh>
    <rPh sb="4" eb="5">
      <t>シャ</t>
    </rPh>
    <rPh sb="5" eb="6">
      <t>ナド</t>
    </rPh>
    <phoneticPr fontId="2"/>
  </si>
  <si>
    <t>給与収入</t>
    <rPh sb="0" eb="2">
      <t>キュウヨ</t>
    </rPh>
    <rPh sb="2" eb="4">
      <t>シュウニュウ</t>
    </rPh>
    <phoneticPr fontId="2"/>
  </si>
  <si>
    <t>給与所得</t>
    <rPh sb="0" eb="2">
      <t>キュウヨ</t>
    </rPh>
    <rPh sb="2" eb="4">
      <t>ショトク</t>
    </rPh>
    <phoneticPr fontId="2"/>
  </si>
  <si>
    <t>年金所得</t>
    <rPh sb="0" eb="2">
      <t>ネンキン</t>
    </rPh>
    <rPh sb="2" eb="4">
      <t>ショトク</t>
    </rPh>
    <phoneticPr fontId="2"/>
  </si>
  <si>
    <t>その他所得（営業等）</t>
    <rPh sb="2" eb="3">
      <t>タ</t>
    </rPh>
    <rPh sb="3" eb="5">
      <t>ショトク</t>
    </rPh>
    <rPh sb="6" eb="8">
      <t>エイギョウ</t>
    </rPh>
    <rPh sb="8" eb="9">
      <t>ナド</t>
    </rPh>
    <phoneticPr fontId="2"/>
  </si>
  <si>
    <t>総所得</t>
    <rPh sb="0" eb="3">
      <t>ソウショトク</t>
    </rPh>
    <phoneticPr fontId="2"/>
  </si>
  <si>
    <t>*60%+97,600</t>
  </si>
  <si>
    <t>*60%+98,000</t>
  </si>
  <si>
    <t>*60%+98,800</t>
  </si>
  <si>
    <t>*60%+99,600</t>
  </si>
  <si>
    <t>*60%+100,000</t>
  </si>
  <si>
    <t>*70%-80,000</t>
  </si>
  <si>
    <t>*80%-440,000</t>
  </si>
  <si>
    <t>*90%-1,100,000</t>
  </si>
  <si>
    <t>65歳未満</t>
    <rPh sb="2" eb="3">
      <t>サイ</t>
    </rPh>
    <rPh sb="3" eb="5">
      <t>ミマン</t>
    </rPh>
    <phoneticPr fontId="4"/>
  </si>
  <si>
    <t>公的年金等収入金額の合計額</t>
  </si>
  <si>
    <t>公的年金等所得金額</t>
  </si>
  <si>
    <t>60万円未満</t>
    <phoneticPr fontId="4"/>
  </si>
  <si>
    <t>　0円　　</t>
  </si>
  <si>
    <t>60万円以上130万円未満</t>
    <phoneticPr fontId="4"/>
  </si>
  <si>
    <t>収入金額－60万円</t>
    <phoneticPr fontId="4"/>
  </si>
  <si>
    <t>130万円以上410万円未満</t>
  </si>
  <si>
    <t>収入金額×75％－27万5千円</t>
    <phoneticPr fontId="4"/>
  </si>
  <si>
    <t>410万円以上770万円未満</t>
  </si>
  <si>
    <t>収入金額×85％－68万5千円　</t>
    <phoneticPr fontId="4"/>
  </si>
  <si>
    <t>770万円以上1000万円未満</t>
    <phoneticPr fontId="4"/>
  </si>
  <si>
    <t>収入金額×95％－145万5千円　</t>
    <phoneticPr fontId="4"/>
  </si>
  <si>
    <t>1000万円以上</t>
    <phoneticPr fontId="4"/>
  </si>
  <si>
    <t>収入金額－195万5千円　</t>
    <phoneticPr fontId="4"/>
  </si>
  <si>
    <t>65歳以上</t>
    <rPh sb="2" eb="3">
      <t>サイ</t>
    </rPh>
    <rPh sb="3" eb="5">
      <t>イジョウ</t>
    </rPh>
    <phoneticPr fontId="4"/>
  </si>
  <si>
    <t>110万円未満</t>
    <phoneticPr fontId="4"/>
  </si>
  <si>
    <t>0円</t>
  </si>
  <si>
    <t>110万円以上330万円未満</t>
    <phoneticPr fontId="4"/>
  </si>
  <si>
    <t>収入金額－110万円　</t>
    <phoneticPr fontId="4"/>
  </si>
  <si>
    <t>330万円以上410万円未満</t>
  </si>
  <si>
    <t>軽減判定額</t>
    <rPh sb="0" eb="2">
      <t>ケイゲン</t>
    </rPh>
    <rPh sb="2" eb="4">
      <t>ハンテイ</t>
    </rPh>
    <rPh sb="4" eb="5">
      <t>ガク</t>
    </rPh>
    <phoneticPr fontId="2"/>
  </si>
  <si>
    <t>２割軽減</t>
    <rPh sb="1" eb="2">
      <t>ワリ</t>
    </rPh>
    <rPh sb="2" eb="4">
      <t>ケイゲン</t>
    </rPh>
    <phoneticPr fontId="2"/>
  </si>
  <si>
    <t>５割軽減</t>
    <rPh sb="1" eb="2">
      <t>ワリ</t>
    </rPh>
    <rPh sb="2" eb="4">
      <t>ケイゲン</t>
    </rPh>
    <phoneticPr fontId="2"/>
  </si>
  <si>
    <t>７割軽減</t>
    <rPh sb="1" eb="2">
      <t>ワリ</t>
    </rPh>
    <rPh sb="2" eb="4">
      <t>ケイゲン</t>
    </rPh>
    <phoneticPr fontId="2"/>
  </si>
  <si>
    <t>軽減なし</t>
    <rPh sb="0" eb="2">
      <t>ケイゲン</t>
    </rPh>
    <phoneticPr fontId="2"/>
  </si>
  <si>
    <t>軽減判定額が43万円＋（給与所得者等の数-1）×10万円　以下</t>
    <rPh sb="0" eb="2">
      <t>ケイゲン</t>
    </rPh>
    <rPh sb="2" eb="4">
      <t>ハンテイ</t>
    </rPh>
    <rPh sb="4" eb="5">
      <t>ガク</t>
    </rPh>
    <rPh sb="8" eb="10">
      <t>マンエン</t>
    </rPh>
    <rPh sb="12" eb="14">
      <t>キュウヨ</t>
    </rPh>
    <rPh sb="14" eb="16">
      <t>ショトク</t>
    </rPh>
    <rPh sb="16" eb="17">
      <t>シャ</t>
    </rPh>
    <rPh sb="17" eb="18">
      <t>ナド</t>
    </rPh>
    <rPh sb="19" eb="20">
      <t>カズ</t>
    </rPh>
    <rPh sb="26" eb="28">
      <t>マンエン</t>
    </rPh>
    <rPh sb="29" eb="31">
      <t>イカ</t>
    </rPh>
    <phoneticPr fontId="2"/>
  </si>
  <si>
    <t>年金収入</t>
    <rPh sb="0" eb="2">
      <t>ネンキン</t>
    </rPh>
    <rPh sb="2" eb="4">
      <t>シュウニュウ</t>
    </rPh>
    <phoneticPr fontId="2"/>
  </si>
  <si>
    <t>計算式</t>
    <rPh sb="0" eb="2">
      <t>ケイサン</t>
    </rPh>
    <rPh sb="2" eb="3">
      <t>シキ</t>
    </rPh>
    <phoneticPr fontId="2"/>
  </si>
  <si>
    <t>～以下</t>
    <rPh sb="1" eb="3">
      <t>イカ</t>
    </rPh>
    <phoneticPr fontId="2"/>
  </si>
  <si>
    <t>以上~</t>
    <rPh sb="0" eb="2">
      <t>イジョウ</t>
    </rPh>
    <phoneticPr fontId="2"/>
  </si>
  <si>
    <t>年金軽減判定所得</t>
    <rPh sb="0" eb="2">
      <t>ネンキン</t>
    </rPh>
    <rPh sb="2" eb="4">
      <t>ケイゲン</t>
    </rPh>
    <rPh sb="4" eb="6">
      <t>ハンテイ</t>
    </rPh>
    <rPh sb="6" eb="8">
      <t>ショトク</t>
    </rPh>
    <phoneticPr fontId="4"/>
  </si>
  <si>
    <t>*0.75-275000</t>
    <phoneticPr fontId="2"/>
  </si>
  <si>
    <t>*0.85-685000</t>
    <phoneticPr fontId="2"/>
  </si>
  <si>
    <t>*0.95-1455000</t>
    <phoneticPr fontId="2"/>
  </si>
  <si>
    <t>*0.95-1455000</t>
    <phoneticPr fontId="2"/>
  </si>
  <si>
    <t>年齢</t>
    <rPh sb="0" eb="2">
      <t>ネンレイ</t>
    </rPh>
    <phoneticPr fontId="2"/>
  </si>
  <si>
    <t>給与所得者等：給与収入が55万円を超える人、公的年金等の収入が60万円を超える65歳未満の人、又は公的年金等の収入が125万円を超える65歳以上の人</t>
    <rPh sb="0" eb="2">
      <t>キュウヨ</t>
    </rPh>
    <rPh sb="2" eb="5">
      <t>ショトクシャ</t>
    </rPh>
    <rPh sb="5" eb="6">
      <t>ナド</t>
    </rPh>
    <rPh sb="7" eb="9">
      <t>キュウヨ</t>
    </rPh>
    <rPh sb="9" eb="11">
      <t>シュウニュウ</t>
    </rPh>
    <rPh sb="15" eb="16">
      <t>エン</t>
    </rPh>
    <rPh sb="17" eb="18">
      <t>コ</t>
    </rPh>
    <rPh sb="20" eb="21">
      <t>ヒト</t>
    </rPh>
    <rPh sb="22" eb="24">
      <t>コウテキ</t>
    </rPh>
    <rPh sb="24" eb="26">
      <t>ネンキン</t>
    </rPh>
    <rPh sb="26" eb="27">
      <t>トウ</t>
    </rPh>
    <rPh sb="28" eb="30">
      <t>シュウニュウ</t>
    </rPh>
    <rPh sb="33" eb="35">
      <t>マンエン</t>
    </rPh>
    <rPh sb="36" eb="37">
      <t>コ</t>
    </rPh>
    <rPh sb="41" eb="44">
      <t>サイミマン</t>
    </rPh>
    <rPh sb="45" eb="46">
      <t>ヒト</t>
    </rPh>
    <rPh sb="47" eb="48">
      <t>マタ</t>
    </rPh>
    <rPh sb="49" eb="51">
      <t>コウテキ</t>
    </rPh>
    <rPh sb="51" eb="53">
      <t>ネンキン</t>
    </rPh>
    <rPh sb="53" eb="54">
      <t>ナド</t>
    </rPh>
    <rPh sb="55" eb="57">
      <t>シュウニュウ</t>
    </rPh>
    <rPh sb="61" eb="63">
      <t>マンエン</t>
    </rPh>
    <rPh sb="64" eb="65">
      <t>コ</t>
    </rPh>
    <rPh sb="69" eb="72">
      <t>サイイジョウ</t>
    </rPh>
    <rPh sb="73" eb="74">
      <t>ヒト</t>
    </rPh>
    <phoneticPr fontId="2"/>
  </si>
  <si>
    <t>ひと月あたりの保険料額</t>
    <rPh sb="2" eb="3">
      <t>ツキ</t>
    </rPh>
    <rPh sb="7" eb="10">
      <t>ホケンリョウ</t>
    </rPh>
    <rPh sb="10" eb="11">
      <t>ガク</t>
    </rPh>
    <phoneticPr fontId="2"/>
  </si>
  <si>
    <t>加入人数</t>
    <rPh sb="0" eb="2">
      <t>カニュウ</t>
    </rPh>
    <rPh sb="2" eb="4">
      <t>ニンズウ</t>
    </rPh>
    <phoneticPr fontId="2"/>
  </si>
  <si>
    <t>世帯合計</t>
    <rPh sb="0" eb="2">
      <t>セタイ</t>
    </rPh>
    <rPh sb="2" eb="4">
      <t>ゴウケイ</t>
    </rPh>
    <phoneticPr fontId="2"/>
  </si>
  <si>
    <t>うち</t>
    <phoneticPr fontId="2"/>
  </si>
  <si>
    <t>世帯軽減</t>
    <rPh sb="0" eb="2">
      <t>セタイ</t>
    </rPh>
    <rPh sb="2" eb="4">
      <t>ケイゲン</t>
    </rPh>
    <phoneticPr fontId="2"/>
  </si>
  <si>
    <t>合計*世帯軽減</t>
    <rPh sb="0" eb="2">
      <t>ゴウケイ</t>
    </rPh>
    <rPh sb="3" eb="5">
      <t>セタイ</t>
    </rPh>
    <rPh sb="5" eb="7">
      <t>ケイゲン</t>
    </rPh>
    <phoneticPr fontId="2"/>
  </si>
  <si>
    <t>年間（12ヶ月）</t>
    <rPh sb="0" eb="2">
      <t>ネンカン</t>
    </rPh>
    <rPh sb="6" eb="7">
      <t>ゲツ</t>
    </rPh>
    <phoneticPr fontId="2"/>
  </si>
  <si>
    <t>医療</t>
    <rPh sb="0" eb="2">
      <t>イリョウ</t>
    </rPh>
    <phoneticPr fontId="2"/>
  </si>
  <si>
    <t>所得割</t>
  </si>
  <si>
    <t>所得割</t>
    <phoneticPr fontId="2"/>
  </si>
  <si>
    <t>後期</t>
    <rPh sb="0" eb="2">
      <t>コウキ</t>
    </rPh>
    <phoneticPr fontId="2"/>
  </si>
  <si>
    <t>介護</t>
    <rPh sb="0" eb="2">
      <t>カイゴ</t>
    </rPh>
    <phoneticPr fontId="2"/>
  </si>
  <si>
    <t>均等割</t>
    <rPh sb="0" eb="3">
      <t>キントウワ</t>
    </rPh>
    <phoneticPr fontId="2"/>
  </si>
  <si>
    <t>平等割</t>
    <rPh sb="0" eb="2">
      <t>ビョウドウ</t>
    </rPh>
    <rPh sb="2" eb="3">
      <t>ワ</t>
    </rPh>
    <phoneticPr fontId="2"/>
  </si>
  <si>
    <t>限度額</t>
    <rPh sb="0" eb="3">
      <t>ゲンドガク</t>
    </rPh>
    <phoneticPr fontId="2"/>
  </si>
  <si>
    <t>/12ヶ月</t>
    <rPh sb="4" eb="5">
      <t>ゲツ</t>
    </rPh>
    <phoneticPr fontId="2"/>
  </si>
  <si>
    <t>給与</t>
    <rPh sb="0" eb="2">
      <t>キュウヨ</t>
    </rPh>
    <phoneticPr fontId="2"/>
  </si>
  <si>
    <t>年金</t>
    <rPh sb="0" eb="2">
      <t>ネンキン</t>
    </rPh>
    <phoneticPr fontId="2"/>
  </si>
  <si>
    <t>その他</t>
    <rPh sb="2" eb="3">
      <t>タ</t>
    </rPh>
    <phoneticPr fontId="2"/>
  </si>
  <si>
    <t>軽減判定額：所得のうち、65歳以上の年金所得は-15万円</t>
    <rPh sb="0" eb="2">
      <t>ケイゲン</t>
    </rPh>
    <rPh sb="2" eb="4">
      <t>ハンテイ</t>
    </rPh>
    <rPh sb="4" eb="5">
      <t>ガク</t>
    </rPh>
    <rPh sb="6" eb="8">
      <t>ショトク</t>
    </rPh>
    <rPh sb="14" eb="15">
      <t>サイ</t>
    </rPh>
    <rPh sb="15" eb="17">
      <t>イジョウ</t>
    </rPh>
    <rPh sb="18" eb="20">
      <t>ネンキン</t>
    </rPh>
    <rPh sb="20" eb="22">
      <t>ショトク</t>
    </rPh>
    <rPh sb="26" eb="27">
      <t>マン</t>
    </rPh>
    <rPh sb="27" eb="28">
      <t>エン</t>
    </rPh>
    <phoneticPr fontId="2"/>
  </si>
  <si>
    <t>黄色塗が利用者入力</t>
    <phoneticPr fontId="2"/>
  </si>
  <si>
    <t>青色塗が自動計算部分</t>
    <phoneticPr fontId="2"/>
  </si>
  <si>
    <t>軽減判定額より世帯の所得に応じて軽減</t>
    <rPh sb="0" eb="2">
      <t>ケイゲン</t>
    </rPh>
    <rPh sb="2" eb="4">
      <t>ハンテイ</t>
    </rPh>
    <rPh sb="4" eb="5">
      <t>ガク</t>
    </rPh>
    <rPh sb="7" eb="9">
      <t>セタイ</t>
    </rPh>
    <rPh sb="10" eb="12">
      <t>ショトク</t>
    </rPh>
    <rPh sb="13" eb="14">
      <t>オウ</t>
    </rPh>
    <rPh sb="16" eb="18">
      <t>ケイゲン</t>
    </rPh>
    <phoneticPr fontId="2"/>
  </si>
  <si>
    <t>擬主</t>
    <rPh sb="0" eb="1">
      <t>ギ</t>
    </rPh>
    <rPh sb="1" eb="2">
      <t>シュ</t>
    </rPh>
    <phoneticPr fontId="2"/>
  </si>
  <si>
    <t>世帯主</t>
    <rPh sb="0" eb="3">
      <t>セタイヌシ</t>
    </rPh>
    <phoneticPr fontId="2"/>
  </si>
  <si>
    <t>世帯主が国保</t>
    <rPh sb="0" eb="3">
      <t>セタイヌシ</t>
    </rPh>
    <rPh sb="4" eb="6">
      <t>コクホ</t>
    </rPh>
    <phoneticPr fontId="2"/>
  </si>
  <si>
    <t>控除</t>
    <rPh sb="0" eb="2">
      <t>コウジョ</t>
    </rPh>
    <phoneticPr fontId="2"/>
  </si>
  <si>
    <t>計</t>
    <rPh sb="0" eb="1">
      <t>ケイ</t>
    </rPh>
    <phoneticPr fontId="2"/>
  </si>
  <si>
    <t>割合</t>
    <rPh sb="0" eb="2">
      <t>ワリアイ</t>
    </rPh>
    <phoneticPr fontId="2"/>
  </si>
  <si>
    <t>軽減区分</t>
    <rPh sb="0" eb="2">
      <t>ケイゲン</t>
    </rPh>
    <rPh sb="2" eb="4">
      <t>クブン</t>
    </rPh>
    <phoneticPr fontId="2"/>
  </si>
  <si>
    <t>軽減閾値</t>
    <rPh sb="0" eb="2">
      <t>ケイゲン</t>
    </rPh>
    <rPh sb="2" eb="4">
      <t>シキイチ</t>
    </rPh>
    <phoneticPr fontId="2"/>
  </si>
  <si>
    <t>説明</t>
    <rPh sb="0" eb="2">
      <t>セツメイ</t>
    </rPh>
    <phoneticPr fontId="2"/>
  </si>
  <si>
    <t>世帯員1</t>
    <rPh sb="0" eb="3">
      <t>セタイイン</t>
    </rPh>
    <phoneticPr fontId="2"/>
  </si>
  <si>
    <t>世帯員2</t>
    <rPh sb="0" eb="3">
      <t>セタイイン</t>
    </rPh>
    <phoneticPr fontId="2"/>
  </si>
  <si>
    <t>世帯員3</t>
    <rPh sb="0" eb="3">
      <t>セタイイン</t>
    </rPh>
    <phoneticPr fontId="2"/>
  </si>
  <si>
    <t>世帯員4</t>
    <rPh sb="0" eb="3">
      <t>セタイイン</t>
    </rPh>
    <phoneticPr fontId="2"/>
  </si>
  <si>
    <t>↑被保険者数</t>
    <rPh sb="1" eb="5">
      <t>ヒホケンジャ</t>
    </rPh>
    <rPh sb="5" eb="6">
      <t>スウ</t>
    </rPh>
    <phoneticPr fontId="2"/>
  </si>
  <si>
    <t>試算結果</t>
    <rPh sb="0" eb="4">
      <t>シサンケッカ</t>
    </rPh>
    <phoneticPr fontId="2"/>
  </si>
  <si>
    <t>金額内訳</t>
    <rPh sb="0" eb="2">
      <t>キンガク</t>
    </rPh>
    <rPh sb="2" eb="4">
      <t>ウチワケ</t>
    </rPh>
    <phoneticPr fontId="2"/>
  </si>
  <si>
    <t>医療分</t>
    <rPh sb="0" eb="2">
      <t>イリョウ</t>
    </rPh>
    <rPh sb="2" eb="3">
      <t>ブン</t>
    </rPh>
    <phoneticPr fontId="2"/>
  </si>
  <si>
    <t>後期支援分</t>
    <rPh sb="0" eb="2">
      <t>コウキ</t>
    </rPh>
    <rPh sb="2" eb="4">
      <t>シエン</t>
    </rPh>
    <rPh sb="4" eb="5">
      <t>ブン</t>
    </rPh>
    <phoneticPr fontId="2"/>
  </si>
  <si>
    <t>介護分</t>
    <rPh sb="0" eb="2">
      <t>カイゴ</t>
    </rPh>
    <rPh sb="2" eb="3">
      <t>ブン</t>
    </rPh>
    <phoneticPr fontId="2"/>
  </si>
  <si>
    <t>所得割</t>
    <rPh sb="0" eb="3">
      <t>ショトクワリ</t>
    </rPh>
    <phoneticPr fontId="2"/>
  </si>
  <si>
    <t>均等割</t>
    <rPh sb="0" eb="2">
      <t>キントウ</t>
    </rPh>
    <rPh sb="2" eb="3">
      <t>ワリ</t>
    </rPh>
    <phoneticPr fontId="2"/>
  </si>
  <si>
    <t>平等割</t>
    <rPh sb="0" eb="2">
      <t>ビョウドウ</t>
    </rPh>
    <rPh sb="2" eb="3">
      <t>ワリ</t>
    </rPh>
    <phoneticPr fontId="2"/>
  </si>
  <si>
    <t>計</t>
    <rPh sb="0" eb="1">
      <t>ケイ</t>
    </rPh>
    <phoneticPr fontId="2"/>
  </si>
  <si>
    <t>－</t>
    <phoneticPr fontId="2"/>
  </si>
  <si>
    <t xml:space="preserve">  年間保険料額</t>
    <rPh sb="2" eb="4">
      <t>ネンカン</t>
    </rPh>
    <rPh sb="4" eb="7">
      <t>ホケンリョウ</t>
    </rPh>
    <rPh sb="7" eb="8">
      <t>ガク</t>
    </rPh>
    <phoneticPr fontId="2"/>
  </si>
  <si>
    <t xml:space="preserve">  １か月あたりの保険料額</t>
    <rPh sb="4" eb="5">
      <t>ツキ</t>
    </rPh>
    <rPh sb="9" eb="12">
      <t>ホケンリョウ</t>
    </rPh>
    <rPh sb="12" eb="13">
      <t>ガク</t>
    </rPh>
    <phoneticPr fontId="2"/>
  </si>
  <si>
    <t>世帯主が国民健康保険に</t>
    <rPh sb="0" eb="3">
      <t>セタイヌシ</t>
    </rPh>
    <rPh sb="4" eb="6">
      <t>コクミン</t>
    </rPh>
    <rPh sb="6" eb="8">
      <t>ケンコウ</t>
    </rPh>
    <rPh sb="8" eb="10">
      <t>ホケン</t>
    </rPh>
    <phoneticPr fontId="2"/>
  </si>
  <si>
    <t>加入する</t>
    <rPh sb="0" eb="2">
      <t>カニュウ</t>
    </rPh>
    <phoneticPr fontId="2"/>
  </si>
  <si>
    <t>加入しない</t>
    <rPh sb="0" eb="2">
      <t>カニュウ</t>
    </rPh>
    <phoneticPr fontId="2"/>
  </si>
  <si>
    <t>この計算結果はあくまで試算であり、実際の保険料とは異なる場合があります。</t>
    <rPh sb="2" eb="4">
      <t>ケイサン</t>
    </rPh>
    <rPh sb="4" eb="6">
      <t>ケッカ</t>
    </rPh>
    <rPh sb="11" eb="13">
      <t>シサン</t>
    </rPh>
    <rPh sb="17" eb="19">
      <t>ジッサイ</t>
    </rPh>
    <rPh sb="20" eb="23">
      <t>ホケンリョウ</t>
    </rPh>
    <rPh sb="25" eb="26">
      <t>コト</t>
    </rPh>
    <rPh sb="28" eb="30">
      <t>バアイ</t>
    </rPh>
    <phoneticPr fontId="2"/>
  </si>
  <si>
    <t>届出が遅れた場合、保険料は資格を取得した月（退職月）まで遡って発生しますが、</t>
    <rPh sb="0" eb="1">
      <t>トド</t>
    </rPh>
    <rPh sb="1" eb="2">
      <t>デ</t>
    </rPh>
    <rPh sb="3" eb="4">
      <t>オク</t>
    </rPh>
    <rPh sb="6" eb="8">
      <t>バアイ</t>
    </rPh>
    <rPh sb="9" eb="12">
      <t>ホケンリョウ</t>
    </rPh>
    <rPh sb="13" eb="15">
      <t>シカク</t>
    </rPh>
    <rPh sb="16" eb="18">
      <t>シュトク</t>
    </rPh>
    <rPh sb="20" eb="21">
      <t>ツキ</t>
    </rPh>
    <rPh sb="22" eb="24">
      <t>タイショク</t>
    </rPh>
    <rPh sb="24" eb="25">
      <t>ツキ</t>
    </rPh>
    <rPh sb="28" eb="29">
      <t>サカノボ</t>
    </rPh>
    <rPh sb="31" eb="33">
      <t>ハッセイ</t>
    </rPh>
    <phoneticPr fontId="2"/>
  </si>
  <si>
    <t>納付は届出した月以降から始まります。そのため、1回あたりの納付金額は高くなります。</t>
    <rPh sb="0" eb="2">
      <t>ノウフ</t>
    </rPh>
    <rPh sb="3" eb="5">
      <t>トドケデ</t>
    </rPh>
    <rPh sb="7" eb="8">
      <t>ツキ</t>
    </rPh>
    <rPh sb="8" eb="10">
      <t>イコウ</t>
    </rPh>
    <rPh sb="12" eb="13">
      <t>ハジ</t>
    </rPh>
    <rPh sb="24" eb="25">
      <t>カイ</t>
    </rPh>
    <rPh sb="29" eb="31">
      <t>ノウフ</t>
    </rPh>
    <rPh sb="31" eb="33">
      <t>キンガク</t>
    </rPh>
    <rPh sb="34" eb="35">
      <t>タカ</t>
    </rPh>
    <phoneticPr fontId="2"/>
  </si>
  <si>
    <t>以下のいずれかに該当する世帯は、正確な保険料が計算されない場合があります。</t>
    <rPh sb="0" eb="2">
      <t>イカ</t>
    </rPh>
    <rPh sb="8" eb="10">
      <t>ガイトウ</t>
    </rPh>
    <rPh sb="12" eb="14">
      <t>セタイ</t>
    </rPh>
    <rPh sb="16" eb="18">
      <t>セイカク</t>
    </rPh>
    <rPh sb="19" eb="22">
      <t>ホケンリョウ</t>
    </rPh>
    <rPh sb="23" eb="25">
      <t>ケイサン</t>
    </rPh>
    <rPh sb="29" eb="31">
      <t>バアイ</t>
    </rPh>
    <phoneticPr fontId="2"/>
  </si>
  <si>
    <t>ご利用上の注意</t>
    <phoneticPr fontId="2"/>
  </si>
  <si>
    <t>－選択－</t>
    <rPh sb="1" eb="3">
      <t>センタク</t>
    </rPh>
    <phoneticPr fontId="2"/>
  </si>
  <si>
    <t>-</t>
    <phoneticPr fontId="2"/>
  </si>
  <si>
    <t>軽減判定</t>
    <rPh sb="0" eb="2">
      <t>ケイゲン</t>
    </rPh>
    <rPh sb="2" eb="4">
      <t>ハンテイ</t>
    </rPh>
    <phoneticPr fontId="2"/>
  </si>
  <si>
    <t>世帯主について入力してください</t>
    <rPh sb="0" eb="3">
      <t>セタイヌシ</t>
    </rPh>
    <rPh sb="7" eb="9">
      <t>ニュウリョク</t>
    </rPh>
    <phoneticPr fontId="2"/>
  </si>
  <si>
    <t>世帯主の国保加入の有無を入力してください</t>
    <rPh sb="0" eb="3">
      <t>セタイヌシ</t>
    </rPh>
    <rPh sb="4" eb="6">
      <t>コクホ</t>
    </rPh>
    <rPh sb="6" eb="8">
      <t>カニュウ</t>
    </rPh>
    <rPh sb="9" eb="11">
      <t>ウム</t>
    </rPh>
    <rPh sb="12" eb="14">
      <t>ニュウリョク</t>
    </rPh>
    <phoneticPr fontId="2"/>
  </si>
  <si>
    <t xml:space="preserve"> </t>
    <phoneticPr fontId="2"/>
  </si>
  <si>
    <t>年齢入力チェック</t>
    <rPh sb="0" eb="2">
      <t>ネンレイ</t>
    </rPh>
    <rPh sb="2" eb="4">
      <t>ニュウリョク</t>
    </rPh>
    <phoneticPr fontId="2"/>
  </si>
  <si>
    <t>収入を入力した場合、年齢も入力してください</t>
    <rPh sb="0" eb="2">
      <t>シュウニュウ</t>
    </rPh>
    <rPh sb="3" eb="5">
      <t>ニュウリョク</t>
    </rPh>
    <rPh sb="7" eb="9">
      <t>バアイ</t>
    </rPh>
    <rPh sb="10" eb="12">
      <t>ネンレイ</t>
    </rPh>
    <rPh sb="13" eb="15">
      <t>ニュウリョク</t>
    </rPh>
    <phoneticPr fontId="2"/>
  </si>
  <si>
    <t>内容</t>
    <rPh sb="0" eb="2">
      <t>ナイヨウ</t>
    </rPh>
    <phoneticPr fontId="2"/>
  </si>
  <si>
    <t>　・分離課税・繰越控除等の申告をした方がいる世帯</t>
    <rPh sb="2" eb="4">
      <t>ブンリ</t>
    </rPh>
    <rPh sb="4" eb="6">
      <t>カゼイ</t>
    </rPh>
    <rPh sb="7" eb="8">
      <t>ク</t>
    </rPh>
    <rPh sb="8" eb="9">
      <t>コ</t>
    </rPh>
    <rPh sb="9" eb="11">
      <t>コウジョ</t>
    </rPh>
    <rPh sb="11" eb="12">
      <t>ナド</t>
    </rPh>
    <rPh sb="13" eb="15">
      <t>シンコク</t>
    </rPh>
    <rPh sb="18" eb="19">
      <t>カタ</t>
    </rPh>
    <rPh sb="22" eb="24">
      <t>セタイ</t>
    </rPh>
    <phoneticPr fontId="2"/>
  </si>
  <si>
    <t>　・専従者控除または専従者給与がある方がいる世帯</t>
    <rPh sb="2" eb="5">
      <t>センジュウシャ</t>
    </rPh>
    <rPh sb="5" eb="7">
      <t>コウジョ</t>
    </rPh>
    <rPh sb="10" eb="13">
      <t>センジュウシャ</t>
    </rPh>
    <rPh sb="13" eb="15">
      <t>キュウヨ</t>
    </rPh>
    <rPh sb="18" eb="19">
      <t>カタ</t>
    </rPh>
    <rPh sb="22" eb="24">
      <t>セタイ</t>
    </rPh>
    <phoneticPr fontId="2"/>
  </si>
  <si>
    <t>　・非自発的失業にかかる保険料減額対象の方がいる世帯</t>
    <rPh sb="2" eb="6">
      <t>ヒジハツテキ</t>
    </rPh>
    <rPh sb="6" eb="8">
      <t>シツギョウ</t>
    </rPh>
    <rPh sb="12" eb="15">
      <t>ホケンリョウ</t>
    </rPh>
    <rPh sb="15" eb="19">
      <t>ゲンガクタイショウ</t>
    </rPh>
    <rPh sb="20" eb="21">
      <t>カタ</t>
    </rPh>
    <rPh sb="24" eb="26">
      <t>セタイ</t>
    </rPh>
    <phoneticPr fontId="2"/>
  </si>
  <si>
    <t>　・後期高齢者医療制度に切り替わる前に国保に加入していた方がいる世帯</t>
    <rPh sb="2" eb="7">
      <t>コウキコウレイシャ</t>
    </rPh>
    <rPh sb="7" eb="9">
      <t>イリョウ</t>
    </rPh>
    <rPh sb="9" eb="11">
      <t>セイド</t>
    </rPh>
    <rPh sb="12" eb="13">
      <t>キ</t>
    </rPh>
    <rPh sb="14" eb="15">
      <t>カ</t>
    </rPh>
    <rPh sb="17" eb="18">
      <t>マエ</t>
    </rPh>
    <rPh sb="19" eb="21">
      <t>コクホ</t>
    </rPh>
    <rPh sb="22" eb="24">
      <t>カニュウ</t>
    </rPh>
    <rPh sb="28" eb="29">
      <t>カタ</t>
    </rPh>
    <rPh sb="32" eb="34">
      <t>セタイ</t>
    </rPh>
    <phoneticPr fontId="2"/>
  </si>
  <si>
    <t>通常の保険料の納付は、年間保険料額を7月から翌年2月の年8回に分けて納付することになります。</t>
    <rPh sb="0" eb="2">
      <t>ツウジョウ</t>
    </rPh>
    <rPh sb="3" eb="6">
      <t>ホケンリョウ</t>
    </rPh>
    <rPh sb="7" eb="9">
      <t>ノウフ</t>
    </rPh>
    <rPh sb="11" eb="13">
      <t>ネンカン</t>
    </rPh>
    <rPh sb="13" eb="16">
      <t>ホケンリョウ</t>
    </rPh>
    <rPh sb="16" eb="17">
      <t>ガク</t>
    </rPh>
    <rPh sb="19" eb="20">
      <t>ガツ</t>
    </rPh>
    <rPh sb="22" eb="24">
      <t>ヨクネン</t>
    </rPh>
    <rPh sb="25" eb="26">
      <t>ガツ</t>
    </rPh>
    <rPh sb="27" eb="28">
      <t>ネン</t>
    </rPh>
    <rPh sb="29" eb="30">
      <t>カイ</t>
    </rPh>
    <rPh sb="31" eb="32">
      <t>ワ</t>
    </rPh>
    <rPh sb="34" eb="36">
      <t>ノウフ</t>
    </rPh>
    <phoneticPr fontId="2"/>
  </si>
  <si>
    <t>住民票上の世帯主（国民健康保険に加入しない場合も）及び国民健康保険加入者全員の年齢と収入及び所得を入力してください。</t>
    <rPh sb="0" eb="3">
      <t>ジュウミンヒョウ</t>
    </rPh>
    <rPh sb="3" eb="4">
      <t>ジョウ</t>
    </rPh>
    <rPh sb="5" eb="8">
      <t>セタイヌシ</t>
    </rPh>
    <rPh sb="9" eb="11">
      <t>コクミン</t>
    </rPh>
    <rPh sb="11" eb="13">
      <t>ケンコウ</t>
    </rPh>
    <rPh sb="13" eb="15">
      <t>ホケン</t>
    </rPh>
    <rPh sb="16" eb="18">
      <t>カニュウ</t>
    </rPh>
    <rPh sb="21" eb="23">
      <t>バアイ</t>
    </rPh>
    <rPh sb="25" eb="26">
      <t>オヨ</t>
    </rPh>
    <rPh sb="27" eb="29">
      <t>コクミン</t>
    </rPh>
    <rPh sb="29" eb="31">
      <t>ケンコウ</t>
    </rPh>
    <rPh sb="31" eb="33">
      <t>ホケン</t>
    </rPh>
    <rPh sb="33" eb="36">
      <t>カニュウシャ</t>
    </rPh>
    <rPh sb="36" eb="38">
      <t>ゼンイン</t>
    </rPh>
    <rPh sb="39" eb="41">
      <t>ネンレイ</t>
    </rPh>
    <rPh sb="42" eb="44">
      <t>シュウニュウ</t>
    </rPh>
    <rPh sb="44" eb="45">
      <t>オヨ</t>
    </rPh>
    <rPh sb="46" eb="48">
      <t>ショトク</t>
    </rPh>
    <rPh sb="49" eb="51">
      <t>ニュウリョク</t>
    </rPh>
    <phoneticPr fontId="2"/>
  </si>
  <si>
    <t>世帯主及び加入者の収入が分かるものをご用意ください。</t>
    <rPh sb="0" eb="3">
      <t>セタイヌシ</t>
    </rPh>
    <rPh sb="3" eb="4">
      <t>オヨ</t>
    </rPh>
    <rPh sb="5" eb="8">
      <t>カニュウシャ</t>
    </rPh>
    <rPh sb="9" eb="11">
      <t>シュウニュウ</t>
    </rPh>
    <rPh sb="12" eb="13">
      <t>ワ</t>
    </rPh>
    <rPh sb="19" eb="21">
      <t>ヨウイ</t>
    </rPh>
    <phoneticPr fontId="2"/>
  </si>
  <si>
    <r>
      <t>給与及び年金については</t>
    </r>
    <r>
      <rPr>
        <b/>
        <u/>
        <sz val="14"/>
        <color theme="1"/>
        <rFont val="FUJ明朝体"/>
        <family val="1"/>
        <charset val="128"/>
      </rPr>
      <t>収入</t>
    </r>
    <r>
      <rPr>
        <sz val="14"/>
        <color theme="1"/>
        <rFont val="FUJ明朝体"/>
        <family val="1"/>
        <charset val="128"/>
      </rPr>
      <t>を入力してください。</t>
    </r>
    <rPh sb="0" eb="2">
      <t>キュウヨ</t>
    </rPh>
    <rPh sb="2" eb="3">
      <t>オヨ</t>
    </rPh>
    <rPh sb="4" eb="6">
      <t>ネンキン</t>
    </rPh>
    <rPh sb="11" eb="13">
      <t>シュウニュウ</t>
    </rPh>
    <rPh sb="14" eb="16">
      <t>ニュウリョク</t>
    </rPh>
    <phoneticPr fontId="2"/>
  </si>
  <si>
    <r>
      <t>後期高齢者医療制度（75歳以上の方など）の加入者は、</t>
    </r>
    <r>
      <rPr>
        <u/>
        <sz val="14"/>
        <rFont val="FUJ明朝体"/>
        <family val="1"/>
        <charset val="128"/>
      </rPr>
      <t>国民健康保険に</t>
    </r>
    <r>
      <rPr>
        <b/>
        <u/>
        <sz val="14"/>
        <rFont val="FUJ明朝体"/>
        <family val="1"/>
        <charset val="128"/>
      </rPr>
      <t>加入しない</t>
    </r>
    <r>
      <rPr>
        <sz val="14"/>
        <rFont val="FUJ明朝体"/>
        <family val="1"/>
        <charset val="128"/>
      </rPr>
      <t>を選択してください。</t>
    </r>
    <rPh sb="12" eb="13">
      <t>サイ</t>
    </rPh>
    <rPh sb="13" eb="15">
      <t>イジョウ</t>
    </rPh>
    <rPh sb="16" eb="17">
      <t>カタ</t>
    </rPh>
    <rPh sb="21" eb="24">
      <t>カニュウシャ</t>
    </rPh>
    <rPh sb="26" eb="28">
      <t>コクミン</t>
    </rPh>
    <rPh sb="28" eb="30">
      <t>ケンコウ</t>
    </rPh>
    <rPh sb="30" eb="32">
      <t>ホケン</t>
    </rPh>
    <rPh sb="33" eb="35">
      <t>カニュウ</t>
    </rPh>
    <rPh sb="39" eb="41">
      <t>センタク</t>
    </rPh>
    <phoneticPr fontId="2"/>
  </si>
  <si>
    <t>　・世帯員同士で国民健康保険に加入する月またはやめる月が異なる世帯</t>
    <rPh sb="2" eb="5">
      <t>セタイイン</t>
    </rPh>
    <rPh sb="5" eb="7">
      <t>ドウシ</t>
    </rPh>
    <rPh sb="8" eb="10">
      <t>コクミン</t>
    </rPh>
    <rPh sb="10" eb="12">
      <t>ケンコウ</t>
    </rPh>
    <rPh sb="12" eb="14">
      <t>ホケン</t>
    </rPh>
    <rPh sb="15" eb="17">
      <t>カニュウ</t>
    </rPh>
    <rPh sb="19" eb="20">
      <t>ツキ</t>
    </rPh>
    <rPh sb="26" eb="27">
      <t>ツキ</t>
    </rPh>
    <rPh sb="28" eb="29">
      <t>コト</t>
    </rPh>
    <rPh sb="31" eb="33">
      <t>セタイ</t>
    </rPh>
    <phoneticPr fontId="2"/>
  </si>
  <si>
    <t>エラーコード</t>
    <phoneticPr fontId="2"/>
  </si>
  <si>
    <t>パラメータ</t>
    <phoneticPr fontId="2"/>
  </si>
  <si>
    <t>世帯主が国保加入でない場合、所得割（保険料）計算の対象外ですが、軽減判定額は対象となります。</t>
    <rPh sb="0" eb="3">
      <t>セタイヌシ</t>
    </rPh>
    <rPh sb="4" eb="6">
      <t>コクホ</t>
    </rPh>
    <rPh sb="6" eb="8">
      <t>カニュウ</t>
    </rPh>
    <rPh sb="11" eb="13">
      <t>バアイ</t>
    </rPh>
    <rPh sb="14" eb="16">
      <t>ショトク</t>
    </rPh>
    <rPh sb="16" eb="17">
      <t>ワリ</t>
    </rPh>
    <rPh sb="18" eb="21">
      <t>ホケンリョウ</t>
    </rPh>
    <rPh sb="22" eb="24">
      <t>ケイサン</t>
    </rPh>
    <rPh sb="25" eb="28">
      <t>タイショウガイ</t>
    </rPh>
    <rPh sb="32" eb="34">
      <t>ケイゲン</t>
    </rPh>
    <rPh sb="34" eb="36">
      <t>ハンテイ</t>
    </rPh>
    <rPh sb="36" eb="37">
      <t>ガク</t>
    </rPh>
    <rPh sb="38" eb="40">
      <t>タイショウ</t>
    </rPh>
    <phoneticPr fontId="2"/>
  </si>
  <si>
    <t>リスト</t>
    <phoneticPr fontId="2"/>
  </si>
  <si>
    <t>令和6年度　沼津市国民健康保険料簡易試算シート</t>
    <rPh sb="3" eb="5">
      <t>ネンド</t>
    </rPh>
    <rPh sb="6" eb="9">
      <t>ヌマヅシ</t>
    </rPh>
    <rPh sb="9" eb="11">
      <t>コクミン</t>
    </rPh>
    <rPh sb="11" eb="13">
      <t>ケンコウ</t>
    </rPh>
    <rPh sb="13" eb="16">
      <t>ホケンリョウ</t>
    </rPh>
    <rPh sb="16" eb="18">
      <t>カンイ</t>
    </rPh>
    <rPh sb="18" eb="20">
      <t>シサン</t>
    </rPh>
    <phoneticPr fontId="2"/>
  </si>
  <si>
    <t>　令和6年度（令和6年4月から令和7年3月まで）の国民健康保険料がいくらになるか試算することができます。</t>
    <rPh sb="4" eb="6">
      <t>ネンド</t>
    </rPh>
    <rPh sb="10" eb="11">
      <t>ネン</t>
    </rPh>
    <rPh sb="12" eb="13">
      <t>ガツ</t>
    </rPh>
    <rPh sb="18" eb="19">
      <t>ネン</t>
    </rPh>
    <rPh sb="20" eb="21">
      <t>ツキ</t>
    </rPh>
    <rPh sb="25" eb="27">
      <t>コクミン</t>
    </rPh>
    <rPh sb="27" eb="29">
      <t>ケンコウ</t>
    </rPh>
    <rPh sb="29" eb="31">
      <t>ホケン</t>
    </rPh>
    <rPh sb="31" eb="32">
      <t>リョウ</t>
    </rPh>
    <rPh sb="40" eb="42">
      <t>シサン</t>
    </rPh>
    <phoneticPr fontId="2"/>
  </si>
  <si>
    <t>　※年齢は令和6年４月１日現在で入力してください。</t>
    <rPh sb="2" eb="4">
      <t>ネンレイ</t>
    </rPh>
    <rPh sb="8" eb="9">
      <t>ネン</t>
    </rPh>
    <rPh sb="10" eb="11">
      <t>ガツ</t>
    </rPh>
    <rPh sb="12" eb="13">
      <t>ニチ</t>
    </rPh>
    <rPh sb="13" eb="15">
      <t>ゲンザイ</t>
    </rPh>
    <rPh sb="16" eb="18">
      <t>ニュウリョク</t>
    </rPh>
    <phoneticPr fontId="2"/>
  </si>
  <si>
    <t>　・令和6年度の途中で40歳・65歳・66歳・75歳になる（なった）方がいる世帯</t>
    <rPh sb="5" eb="7">
      <t>ネンド</t>
    </rPh>
    <rPh sb="8" eb="10">
      <t>トチュウ</t>
    </rPh>
    <rPh sb="13" eb="14">
      <t>サイ</t>
    </rPh>
    <rPh sb="17" eb="18">
      <t>サイ</t>
    </rPh>
    <rPh sb="21" eb="22">
      <t>サイ</t>
    </rPh>
    <rPh sb="25" eb="26">
      <t>サイ</t>
    </rPh>
    <rPh sb="34" eb="35">
      <t>カタ</t>
    </rPh>
    <rPh sb="38" eb="40">
      <t>セタイ</t>
    </rPh>
    <phoneticPr fontId="2"/>
  </si>
  <si>
    <t>　・確定申告をした方は確定申告書の写し（令和5年分）</t>
    <rPh sb="2" eb="4">
      <t>カクテイ</t>
    </rPh>
    <rPh sb="4" eb="6">
      <t>シンコク</t>
    </rPh>
    <rPh sb="9" eb="10">
      <t>カタ</t>
    </rPh>
    <rPh sb="11" eb="13">
      <t>カクテイ</t>
    </rPh>
    <rPh sb="13" eb="15">
      <t>シンコク</t>
    </rPh>
    <rPh sb="15" eb="16">
      <t>ショ</t>
    </rPh>
    <rPh sb="17" eb="18">
      <t>ウツ</t>
    </rPh>
    <rPh sb="23" eb="25">
      <t>ネンブン</t>
    </rPh>
    <phoneticPr fontId="2"/>
  </si>
  <si>
    <t>　・確定申告をしていない方は給与または年金の源泉徴収票（令和5年分）　など</t>
    <rPh sb="2" eb="4">
      <t>カクテイ</t>
    </rPh>
    <rPh sb="4" eb="6">
      <t>シンコク</t>
    </rPh>
    <rPh sb="12" eb="13">
      <t>カタ</t>
    </rPh>
    <rPh sb="14" eb="16">
      <t>キュウヨ</t>
    </rPh>
    <rPh sb="19" eb="21">
      <t>ネンキン</t>
    </rPh>
    <rPh sb="22" eb="24">
      <t>ゲンセン</t>
    </rPh>
    <rPh sb="24" eb="26">
      <t>チョウシュウ</t>
    </rPh>
    <rPh sb="26" eb="27">
      <t>ヒョウ</t>
    </rPh>
    <rPh sb="31" eb="33">
      <t>ネンブン</t>
    </rPh>
    <phoneticPr fontId="2"/>
  </si>
  <si>
    <t>　・令和5年中の所得を申告していない世帯</t>
    <rPh sb="5" eb="6">
      <t>ネン</t>
    </rPh>
    <rPh sb="6" eb="7">
      <t>ナカ</t>
    </rPh>
    <rPh sb="8" eb="10">
      <t>ショトク</t>
    </rPh>
    <rPh sb="11" eb="13">
      <t>シンコク</t>
    </rPh>
    <rPh sb="18" eb="20">
      <t>セタイ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</si>
</sst>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Red]\-#,##0.0"/>
    <numFmt numFmtId="177" formatCode="0.0"/>
  </numFmts>
  <fonts count="23" x14ac:knownFonts="1">
    <font>
      <sz val="11"/>
      <color theme="1"/>
      <name val="游ゴシック"/>
      <family val="2"/>
      <scheme val="minor"/>
    </font>
    <font>
      <sz val="11"/>
      <color theme="1"/>
      <name val="游ゴシック"/>
      <family val="2"/>
      <scheme val="minor"/>
    </font>
    <font>
      <sz val="6"/>
      <name val="游ゴシック"/>
      <family val="3"/>
      <charset val="128"/>
      <scheme val="minor"/>
    </font>
    <font>
      <sz val="11"/>
      <color theme="1"/>
      <name val="FUJ明朝体"/>
      <family val="1"/>
      <charset val="128"/>
    </font>
    <font>
      <sz val="6"/>
      <name val="ＭＳ Ｐゴシック"/>
      <family val="3"/>
      <charset val="128"/>
    </font>
    <font>
      <sz val="11"/>
      <name val="ＭＳ Ｐゴシック"/>
      <family val="3"/>
      <charset val="128"/>
    </font>
    <font>
      <sz val="11"/>
      <color theme="1"/>
      <name val="HG丸ｺﾞｼｯｸM-PRO"/>
      <family val="3"/>
      <charset val="128"/>
    </font>
    <font>
      <b/>
      <sz val="9"/>
      <color theme="1"/>
      <name val="HG丸ｺﾞｼｯｸM-PRO"/>
      <family val="3"/>
      <charset val="128"/>
    </font>
    <font>
      <sz val="9"/>
      <name val="HG丸ｺﾞｼｯｸM-PRO"/>
      <family val="3"/>
      <charset val="128"/>
    </font>
    <font>
      <b/>
      <sz val="9"/>
      <color rgb="FF222222"/>
      <name val="HG丸ｺﾞｼｯｸM-PRO"/>
      <family val="3"/>
      <charset val="128"/>
    </font>
    <font>
      <sz val="9"/>
      <color rgb="FF222222"/>
      <name val="HG丸ｺﾞｼｯｸM-PRO"/>
      <family val="3"/>
      <charset val="128"/>
    </font>
    <font>
      <b/>
      <sz val="11"/>
      <color theme="1"/>
      <name val="FUJ明朝体"/>
      <family val="1"/>
      <charset val="128"/>
    </font>
    <font>
      <sz val="14"/>
      <color theme="1"/>
      <name val="FUJ明朝体"/>
      <family val="1"/>
      <charset val="128"/>
    </font>
    <font>
      <b/>
      <sz val="20"/>
      <color theme="1"/>
      <name val="FUJ明朝体"/>
      <family val="1"/>
      <charset val="128"/>
    </font>
    <font>
      <sz val="12"/>
      <color theme="1"/>
      <name val="FUJ明朝体"/>
      <family val="1"/>
      <charset val="128"/>
    </font>
    <font>
      <b/>
      <u/>
      <sz val="14"/>
      <color theme="1"/>
      <name val="FUJ明朝体"/>
      <family val="1"/>
      <charset val="128"/>
    </font>
    <font>
      <b/>
      <sz val="14"/>
      <color theme="1"/>
      <name val="FUJ明朝体"/>
      <family val="1"/>
      <charset val="128"/>
    </font>
    <font>
      <b/>
      <sz val="18"/>
      <color theme="1"/>
      <name val="FUJ明朝体"/>
      <family val="1"/>
      <charset val="128"/>
    </font>
    <font>
      <b/>
      <u/>
      <sz val="16"/>
      <name val="FUJ明朝体"/>
      <family val="1"/>
      <charset val="128"/>
    </font>
    <font>
      <sz val="14"/>
      <name val="FUJ明朝体"/>
      <family val="1"/>
      <charset val="128"/>
    </font>
    <font>
      <u/>
      <sz val="14"/>
      <name val="FUJ明朝体"/>
      <family val="1"/>
      <charset val="128"/>
    </font>
    <font>
      <b/>
      <u/>
      <sz val="14"/>
      <name val="FUJ明朝体"/>
      <family val="1"/>
      <charset val="128"/>
    </font>
    <font>
      <b/>
      <sz val="11"/>
      <color rgb="FFFF0000"/>
      <name val="FUJ明朝体"/>
      <family val="1"/>
      <charset val="128"/>
    </font>
  </fonts>
  <fills count="7">
    <fill>
      <patternFill patternType="none"/>
    </fill>
    <fill>
      <patternFill patternType="gray125"/>
    </fill>
    <fill>
      <patternFill patternType="solid">
        <fgColor rgb="FFFFFF00"/>
        <bgColor indexed="64"/>
      </patternFill>
    </fill>
    <fill>
      <patternFill patternType="solid">
        <fgColor rgb="FFF1FFE2"/>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8" tint="0.79998168889431442"/>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s>
  <cellStyleXfs count="5">
    <xf numFmtId="0" fontId="0" fillId="0" borderId="0"/>
    <xf numFmtId="38" fontId="1" fillId="0" borderId="0" applyFont="0" applyFill="0" applyBorder="0" applyAlignment="0" applyProtection="0">
      <alignment vertical="center"/>
    </xf>
    <xf numFmtId="38" fontId="5" fillId="0" borderId="0" applyFont="0" applyFill="0" applyBorder="0" applyAlignment="0" applyProtection="0">
      <alignment vertical="center"/>
    </xf>
    <xf numFmtId="0" fontId="5" fillId="0" borderId="0">
      <alignment vertical="center"/>
    </xf>
    <xf numFmtId="9" fontId="1" fillId="0" borderId="0" applyFont="0" applyFill="0" applyBorder="0" applyAlignment="0" applyProtection="0">
      <alignment vertical="center"/>
    </xf>
  </cellStyleXfs>
  <cellXfs count="222">
    <xf numFmtId="0" fontId="0" fillId="0" borderId="0" xfId="0"/>
    <xf numFmtId="0" fontId="3" fillId="0" borderId="0" xfId="0" applyFont="1"/>
    <xf numFmtId="0" fontId="3" fillId="0" borderId="0" xfId="0" applyFont="1" applyAlignment="1">
      <alignment horizontal="right"/>
    </xf>
    <xf numFmtId="38" fontId="3" fillId="0" borderId="0" xfId="1" applyFont="1" applyAlignment="1"/>
    <xf numFmtId="0" fontId="3" fillId="0" borderId="0" xfId="0" applyFont="1" applyAlignment="1">
      <alignment wrapText="1"/>
    </xf>
    <xf numFmtId="38" fontId="3" fillId="0" borderId="0" xfId="0" applyNumberFormat="1" applyFont="1"/>
    <xf numFmtId="38" fontId="7" fillId="4" borderId="0" xfId="2" applyFont="1" applyFill="1" applyBorder="1" applyAlignment="1">
      <alignment vertical="center"/>
    </xf>
    <xf numFmtId="38" fontId="6" fillId="3" borderId="1" xfId="2" applyFont="1" applyFill="1" applyBorder="1">
      <alignment vertical="center"/>
    </xf>
    <xf numFmtId="38" fontId="3" fillId="0" borderId="1" xfId="0" applyNumberFormat="1" applyFont="1" applyBorder="1"/>
    <xf numFmtId="38" fontId="7" fillId="5" borderId="0" xfId="2" applyFont="1" applyFill="1" applyBorder="1" applyAlignment="1">
      <alignment vertical="center"/>
    </xf>
    <xf numFmtId="0" fontId="8" fillId="0" borderId="0" xfId="0" applyFont="1" applyAlignment="1">
      <alignment vertical="center"/>
    </xf>
    <xf numFmtId="0" fontId="8" fillId="0" borderId="0" xfId="3" applyFont="1">
      <alignment vertical="center"/>
    </xf>
    <xf numFmtId="0" fontId="10" fillId="0" borderId="0" xfId="3" applyFont="1" applyAlignment="1">
      <alignment horizontal="center" vertical="center" wrapText="1"/>
    </xf>
    <xf numFmtId="38" fontId="0" fillId="0" borderId="1" xfId="0" applyNumberFormat="1" applyBorder="1"/>
    <xf numFmtId="38" fontId="10" fillId="5" borderId="1" xfId="1" applyFont="1" applyFill="1" applyBorder="1" applyAlignment="1">
      <alignment horizontal="center" vertical="center" wrapText="1"/>
    </xf>
    <xf numFmtId="38" fontId="10" fillId="4" borderId="1" xfId="1" applyFont="1" applyFill="1" applyBorder="1" applyAlignment="1">
      <alignment horizontal="center" vertical="center" wrapText="1"/>
    </xf>
    <xf numFmtId="0" fontId="0" fillId="0" borderId="10" xfId="0" applyBorder="1" applyAlignment="1">
      <alignment horizontal="center"/>
    </xf>
    <xf numFmtId="0" fontId="9" fillId="0" borderId="11" xfId="3" applyFont="1" applyBorder="1" applyAlignment="1">
      <alignment horizontal="center" vertical="center" wrapText="1"/>
    </xf>
    <xf numFmtId="0" fontId="10" fillId="5" borderId="11" xfId="3" applyFont="1" applyFill="1" applyBorder="1" applyAlignment="1">
      <alignment horizontal="center" vertical="center" wrapText="1"/>
    </xf>
    <xf numFmtId="0" fontId="10" fillId="4" borderId="11" xfId="3" applyFont="1" applyFill="1" applyBorder="1" applyAlignment="1">
      <alignment horizontal="center" vertical="center" wrapText="1"/>
    </xf>
    <xf numFmtId="0" fontId="9" fillId="0" borderId="10" xfId="3" applyFont="1" applyBorder="1" applyAlignment="1">
      <alignment horizontal="center" vertical="center" wrapText="1"/>
    </xf>
    <xf numFmtId="0" fontId="10" fillId="5" borderId="10" xfId="3" applyFont="1" applyFill="1" applyBorder="1" applyAlignment="1">
      <alignment horizontal="center" vertical="center" wrapText="1"/>
    </xf>
    <xf numFmtId="0" fontId="10" fillId="4" borderId="10" xfId="3" applyFont="1" applyFill="1" applyBorder="1" applyAlignment="1">
      <alignment horizontal="center" vertical="center" wrapText="1"/>
    </xf>
    <xf numFmtId="0" fontId="9" fillId="0" borderId="13" xfId="3" applyFont="1" applyBorder="1" applyAlignment="1">
      <alignment horizontal="center" vertical="center" wrapText="1"/>
    </xf>
    <xf numFmtId="0" fontId="9" fillId="0" borderId="14" xfId="3" applyFont="1" applyBorder="1" applyAlignment="1">
      <alignment horizontal="center" vertical="center" wrapText="1"/>
    </xf>
    <xf numFmtId="0" fontId="9" fillId="0" borderId="15" xfId="3" applyFont="1" applyBorder="1" applyAlignment="1">
      <alignment horizontal="center" vertical="center" wrapText="1"/>
    </xf>
    <xf numFmtId="0" fontId="10" fillId="5" borderId="16" xfId="3" applyFont="1" applyFill="1" applyBorder="1" applyAlignment="1">
      <alignment horizontal="center" vertical="center" wrapText="1"/>
    </xf>
    <xf numFmtId="0" fontId="10" fillId="5" borderId="17" xfId="3" applyFont="1" applyFill="1" applyBorder="1" applyAlignment="1">
      <alignment horizontal="center" vertical="center" wrapText="1"/>
    </xf>
    <xf numFmtId="0" fontId="10" fillId="4" borderId="16" xfId="3" applyFont="1" applyFill="1" applyBorder="1" applyAlignment="1">
      <alignment horizontal="center" vertical="center" wrapText="1"/>
    </xf>
    <xf numFmtId="0" fontId="10" fillId="4" borderId="17" xfId="3" applyFont="1" applyFill="1" applyBorder="1" applyAlignment="1">
      <alignment horizontal="center" vertical="center" wrapText="1"/>
    </xf>
    <xf numFmtId="0" fontId="10" fillId="4" borderId="18" xfId="3" applyFont="1" applyFill="1" applyBorder="1" applyAlignment="1">
      <alignment horizontal="center" vertical="center" wrapText="1"/>
    </xf>
    <xf numFmtId="38" fontId="10" fillId="4" borderId="19" xfId="1" applyFont="1" applyFill="1" applyBorder="1" applyAlignment="1">
      <alignment horizontal="center" vertical="center" wrapText="1"/>
    </xf>
    <xf numFmtId="0" fontId="10" fillId="4" borderId="20" xfId="3" applyFont="1" applyFill="1" applyBorder="1" applyAlignment="1">
      <alignment horizontal="center" vertical="center" wrapText="1"/>
    </xf>
    <xf numFmtId="0" fontId="10" fillId="0" borderId="11" xfId="3" applyFont="1" applyBorder="1" applyAlignment="1">
      <alignment horizontal="center" vertical="center" wrapText="1"/>
    </xf>
    <xf numFmtId="38" fontId="10" fillId="5" borderId="11" xfId="1" applyFont="1" applyFill="1" applyBorder="1" applyAlignment="1">
      <alignment horizontal="center" vertical="center" wrapText="1"/>
    </xf>
    <xf numFmtId="38" fontId="10" fillId="4" borderId="11" xfId="1" applyFont="1" applyFill="1" applyBorder="1" applyAlignment="1">
      <alignment horizontal="center" vertical="center" wrapText="1"/>
    </xf>
    <xf numFmtId="0" fontId="10" fillId="0" borderId="13" xfId="3" applyFont="1" applyBorder="1" applyAlignment="1">
      <alignment horizontal="center" vertical="center" wrapText="1"/>
    </xf>
    <xf numFmtId="0" fontId="10" fillId="0" borderId="14" xfId="3" applyFont="1" applyBorder="1" applyAlignment="1">
      <alignment horizontal="center" vertical="center" wrapText="1"/>
    </xf>
    <xf numFmtId="0" fontId="10" fillId="0" borderId="15" xfId="3" applyFont="1" applyBorder="1" applyAlignment="1">
      <alignment horizontal="center" vertical="center" wrapText="1"/>
    </xf>
    <xf numFmtId="38" fontId="0" fillId="0" borderId="16" xfId="0" applyNumberFormat="1" applyBorder="1"/>
    <xf numFmtId="38" fontId="0" fillId="0" borderId="17" xfId="0" applyNumberFormat="1" applyBorder="1"/>
    <xf numFmtId="38" fontId="10" fillId="5" borderId="16" xfId="1" applyFont="1" applyFill="1" applyBorder="1" applyAlignment="1">
      <alignment horizontal="center" vertical="center" wrapText="1"/>
    </xf>
    <xf numFmtId="38" fontId="10" fillId="5" borderId="17" xfId="1" applyFont="1" applyFill="1" applyBorder="1" applyAlignment="1">
      <alignment horizontal="center" vertical="center" wrapText="1"/>
    </xf>
    <xf numFmtId="38" fontId="10" fillId="4" borderId="16" xfId="1" applyFont="1" applyFill="1" applyBorder="1" applyAlignment="1">
      <alignment horizontal="center" vertical="center" wrapText="1"/>
    </xf>
    <xf numFmtId="38" fontId="10" fillId="4" borderId="17" xfId="1" applyFont="1" applyFill="1" applyBorder="1" applyAlignment="1">
      <alignment horizontal="center" vertical="center" wrapText="1"/>
    </xf>
    <xf numFmtId="38" fontId="10" fillId="4" borderId="18" xfId="1" applyFont="1" applyFill="1" applyBorder="1" applyAlignment="1">
      <alignment horizontal="center" vertical="center" wrapText="1"/>
    </xf>
    <xf numFmtId="38" fontId="10" fillId="4" borderId="20" xfId="1" applyFont="1" applyFill="1" applyBorder="1" applyAlignment="1">
      <alignment horizontal="center" vertical="center" wrapText="1"/>
    </xf>
    <xf numFmtId="0" fontId="0" fillId="2" borderId="10" xfId="0" applyFill="1" applyBorder="1" applyAlignment="1">
      <alignment horizontal="center"/>
    </xf>
    <xf numFmtId="38" fontId="6" fillId="3" borderId="11" xfId="2" applyFont="1" applyFill="1" applyBorder="1" applyAlignment="1">
      <alignment horizontal="right"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38" fontId="3" fillId="0" borderId="16" xfId="0" applyNumberFormat="1" applyFont="1" applyBorder="1"/>
    <xf numFmtId="38" fontId="3" fillId="0" borderId="17" xfId="0" applyNumberFormat="1" applyFont="1" applyBorder="1"/>
    <xf numFmtId="38" fontId="6" fillId="3" borderId="16" xfId="2" applyFont="1" applyFill="1" applyBorder="1">
      <alignment vertical="center"/>
    </xf>
    <xf numFmtId="38" fontId="6" fillId="3" borderId="17" xfId="2" applyFont="1" applyFill="1" applyBorder="1">
      <alignment vertical="center"/>
    </xf>
    <xf numFmtId="38" fontId="6" fillId="3" borderId="18" xfId="2" applyFont="1" applyFill="1" applyBorder="1">
      <alignment vertical="center"/>
    </xf>
    <xf numFmtId="38" fontId="6" fillId="3" borderId="19" xfId="2" applyFont="1" applyFill="1" applyBorder="1">
      <alignment vertical="center"/>
    </xf>
    <xf numFmtId="38" fontId="6" fillId="3" borderId="20" xfId="2" applyFont="1" applyFill="1" applyBorder="1">
      <alignment vertical="center"/>
    </xf>
    <xf numFmtId="38" fontId="0" fillId="2" borderId="22" xfId="0" applyNumberFormat="1" applyFill="1" applyBorder="1"/>
    <xf numFmtId="38" fontId="0" fillId="2" borderId="23" xfId="0" applyNumberFormat="1" applyFill="1" applyBorder="1"/>
    <xf numFmtId="38" fontId="0" fillId="2" borderId="24" xfId="0" applyNumberFormat="1" applyFill="1" applyBorder="1"/>
    <xf numFmtId="38" fontId="6" fillId="3" borderId="10" xfId="2" applyFont="1" applyFill="1" applyBorder="1" applyAlignment="1">
      <alignment horizontal="right" vertical="center"/>
    </xf>
    <xf numFmtId="176" fontId="6" fillId="3" borderId="10" xfId="2" applyNumberFormat="1" applyFont="1" applyFill="1" applyBorder="1" applyAlignment="1">
      <alignment horizontal="right" vertical="center"/>
    </xf>
    <xf numFmtId="0" fontId="0" fillId="0" borderId="13" xfId="0" applyBorder="1" applyAlignment="1">
      <alignment horizontal="center"/>
    </xf>
    <xf numFmtId="0" fontId="0" fillId="0" borderId="14" xfId="0" applyBorder="1" applyAlignment="1">
      <alignment horizontal="center"/>
    </xf>
    <xf numFmtId="0" fontId="0" fillId="0" borderId="15" xfId="0" applyBorder="1" applyAlignment="1">
      <alignment horizontal="center"/>
    </xf>
    <xf numFmtId="38" fontId="6" fillId="3" borderId="17" xfId="2" applyFont="1" applyFill="1" applyBorder="1" applyAlignment="1">
      <alignment horizontal="right" vertical="center"/>
    </xf>
    <xf numFmtId="38" fontId="6" fillId="3" borderId="20" xfId="2" applyFont="1" applyFill="1" applyBorder="1" applyAlignment="1">
      <alignment horizontal="right" vertical="center"/>
    </xf>
    <xf numFmtId="38" fontId="3" fillId="6" borderId="16" xfId="1" applyFont="1" applyFill="1" applyBorder="1" applyAlignment="1"/>
    <xf numFmtId="38" fontId="3" fillId="6" borderId="1" xfId="1" applyFont="1" applyFill="1" applyBorder="1" applyAlignment="1"/>
    <xf numFmtId="38" fontId="3" fillId="6" borderId="17" xfId="1" applyFont="1" applyFill="1" applyBorder="1" applyAlignment="1"/>
    <xf numFmtId="38" fontId="3" fillId="6" borderId="18" xfId="1" applyFont="1" applyFill="1" applyBorder="1" applyAlignment="1"/>
    <xf numFmtId="38" fontId="3" fillId="6" borderId="19" xfId="1" applyFont="1" applyFill="1" applyBorder="1" applyAlignment="1"/>
    <xf numFmtId="38" fontId="3" fillId="6" borderId="20" xfId="1" applyFont="1" applyFill="1" applyBorder="1" applyAlignment="1"/>
    <xf numFmtId="0" fontId="3" fillId="0" borderId="0" xfId="0" applyFont="1" applyAlignment="1">
      <alignment horizontal="right" wrapText="1"/>
    </xf>
    <xf numFmtId="38" fontId="3" fillId="0" borderId="0" xfId="1" applyFont="1" applyFill="1" applyAlignment="1"/>
    <xf numFmtId="38" fontId="10" fillId="2" borderId="27" xfId="1" applyFont="1" applyFill="1" applyBorder="1" applyAlignment="1">
      <alignment horizontal="center" vertical="center" wrapText="1"/>
    </xf>
    <xf numFmtId="38" fontId="10" fillId="2" borderId="28" xfId="1" applyFont="1" applyFill="1" applyBorder="1" applyAlignment="1">
      <alignment horizontal="center" vertical="center" wrapText="1"/>
    </xf>
    <xf numFmtId="38" fontId="10" fillId="2" borderId="29" xfId="1" applyFont="1" applyFill="1" applyBorder="1" applyAlignment="1">
      <alignment horizontal="center" vertical="center" wrapText="1"/>
    </xf>
    <xf numFmtId="38" fontId="10" fillId="5" borderId="30" xfId="1" applyFont="1" applyFill="1" applyBorder="1" applyAlignment="1">
      <alignment horizontal="center" vertical="center" wrapText="1"/>
    </xf>
    <xf numFmtId="38" fontId="10" fillId="5" borderId="21" xfId="1" applyFont="1" applyFill="1" applyBorder="1" applyAlignment="1">
      <alignment horizontal="center" vertical="center" wrapText="1"/>
    </xf>
    <xf numFmtId="38" fontId="10" fillId="5" borderId="31" xfId="1" applyFont="1" applyFill="1" applyBorder="1" applyAlignment="1">
      <alignment horizontal="center" vertical="center" wrapText="1"/>
    </xf>
    <xf numFmtId="38" fontId="0" fillId="0" borderId="18" xfId="1" applyFont="1" applyBorder="1" applyAlignment="1"/>
    <xf numFmtId="38" fontId="0" fillId="0" borderId="19" xfId="1" applyFont="1" applyBorder="1" applyAlignment="1"/>
    <xf numFmtId="38" fontId="0" fillId="0" borderId="20" xfId="1" applyFont="1" applyBorder="1" applyAlignment="1"/>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36" xfId="0" applyFont="1" applyBorder="1" applyAlignment="1">
      <alignment horizontal="center" vertical="center"/>
    </xf>
    <xf numFmtId="0" fontId="3" fillId="0" borderId="37" xfId="0" applyFont="1" applyBorder="1" applyAlignment="1">
      <alignment horizontal="center" vertical="center"/>
    </xf>
    <xf numFmtId="0" fontId="3" fillId="0" borderId="35"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3" fillId="0" borderId="39" xfId="0" applyFont="1" applyBorder="1" applyAlignment="1">
      <alignment horizontal="center" vertical="center"/>
    </xf>
    <xf numFmtId="0" fontId="3" fillId="0" borderId="32" xfId="0" applyFont="1" applyBorder="1" applyAlignment="1">
      <alignment horizontal="center" vertical="center"/>
    </xf>
    <xf numFmtId="0" fontId="3" fillId="0" borderId="40" xfId="0" applyFont="1" applyBorder="1" applyAlignment="1">
      <alignment horizontal="center" vertical="center"/>
    </xf>
    <xf numFmtId="0" fontId="3" fillId="0" borderId="38" xfId="0" applyFont="1" applyBorder="1" applyAlignment="1">
      <alignment horizontal="center" vertical="center" wrapText="1"/>
    </xf>
    <xf numFmtId="38" fontId="3" fillId="0" borderId="38" xfId="1" applyFont="1" applyFill="1" applyBorder="1" applyAlignment="1"/>
    <xf numFmtId="0" fontId="12" fillId="0" borderId="0" xfId="0" applyFont="1" applyAlignment="1">
      <alignment horizontal="right" vertical="center"/>
    </xf>
    <xf numFmtId="0" fontId="14" fillId="0" borderId="0" xfId="0" applyFont="1"/>
    <xf numFmtId="0" fontId="3" fillId="0" borderId="12" xfId="0" applyFont="1" applyBorder="1" applyAlignment="1">
      <alignment vertical="top" wrapText="1"/>
    </xf>
    <xf numFmtId="0" fontId="3" fillId="0" borderId="12" xfId="0" applyFont="1" applyBorder="1"/>
    <xf numFmtId="0" fontId="3" fillId="0" borderId="8" xfId="0" applyFont="1" applyBorder="1" applyAlignment="1">
      <alignment vertical="top" wrapText="1"/>
    </xf>
    <xf numFmtId="0" fontId="3" fillId="0" borderId="7" xfId="0" applyFont="1" applyBorder="1" applyAlignment="1">
      <alignment vertical="top" wrapText="1"/>
    </xf>
    <xf numFmtId="0" fontId="3" fillId="0" borderId="0" xfId="0" applyFont="1" applyAlignment="1">
      <alignment vertical="center"/>
    </xf>
    <xf numFmtId="0" fontId="3" fillId="0" borderId="0" xfId="0" applyFont="1" applyAlignment="1">
      <alignment horizontal="right" vertical="center"/>
    </xf>
    <xf numFmtId="0" fontId="3" fillId="0" borderId="0" xfId="0" applyFont="1" applyAlignment="1">
      <alignment horizontal="left" vertical="center"/>
    </xf>
    <xf numFmtId="0" fontId="3" fillId="0" borderId="25" xfId="0" applyFont="1" applyBorder="1" applyAlignment="1">
      <alignment vertical="center"/>
    </xf>
    <xf numFmtId="0" fontId="3" fillId="0" borderId="1" xfId="0" applyFont="1" applyBorder="1" applyAlignment="1">
      <alignment vertical="center"/>
    </xf>
    <xf numFmtId="10" fontId="3" fillId="0" borderId="1" xfId="4" applyNumberFormat="1" applyFont="1" applyFill="1" applyBorder="1" applyAlignment="1">
      <alignment vertical="center"/>
    </xf>
    <xf numFmtId="0" fontId="3" fillId="0" borderId="26" xfId="0" applyFont="1" applyBorder="1" applyAlignment="1">
      <alignment vertical="center"/>
    </xf>
    <xf numFmtId="38" fontId="3" fillId="0" borderId="1" xfId="1" applyFont="1" applyFill="1" applyBorder="1" applyAlignment="1">
      <alignment vertical="center"/>
    </xf>
    <xf numFmtId="0" fontId="3" fillId="0" borderId="1" xfId="0" quotePrefix="1" applyFont="1" applyBorder="1" applyAlignment="1">
      <alignment vertical="center"/>
    </xf>
    <xf numFmtId="0" fontId="3" fillId="0" borderId="21" xfId="0" applyFont="1" applyBorder="1" applyAlignment="1">
      <alignment vertical="center"/>
    </xf>
    <xf numFmtId="38" fontId="3" fillId="0" borderId="0" xfId="1" applyFont="1" applyFill="1" applyBorder="1" applyAlignment="1">
      <alignment vertical="center"/>
    </xf>
    <xf numFmtId="0" fontId="3" fillId="0" borderId="0" xfId="0" applyFont="1" applyAlignment="1">
      <alignment vertical="center" wrapText="1"/>
    </xf>
    <xf numFmtId="38" fontId="3" fillId="0" borderId="17" xfId="1" applyFont="1" applyFill="1" applyBorder="1" applyAlignment="1">
      <alignment vertical="center"/>
    </xf>
    <xf numFmtId="0" fontId="3" fillId="0" borderId="16" xfId="0" applyFont="1" applyBorder="1" applyAlignment="1">
      <alignment vertical="center"/>
    </xf>
    <xf numFmtId="38" fontId="3" fillId="0" borderId="20" xfId="1" applyFont="1" applyFill="1" applyBorder="1" applyAlignment="1">
      <alignment vertical="center"/>
    </xf>
    <xf numFmtId="0" fontId="3" fillId="0" borderId="18" xfId="0" applyFont="1" applyBorder="1" applyAlignment="1">
      <alignment vertical="center"/>
    </xf>
    <xf numFmtId="38" fontId="3" fillId="0" borderId="19" xfId="1" applyFont="1" applyFill="1" applyBorder="1" applyAlignment="1">
      <alignment vertical="center"/>
    </xf>
    <xf numFmtId="177" fontId="3" fillId="0" borderId="0" xfId="0" applyNumberFormat="1" applyFont="1" applyAlignment="1">
      <alignment vertical="center"/>
    </xf>
    <xf numFmtId="0" fontId="3" fillId="0" borderId="7" xfId="0" applyFont="1" applyBorder="1" applyAlignment="1">
      <alignment horizontal="center" vertical="center"/>
    </xf>
    <xf numFmtId="0" fontId="3" fillId="0" borderId="25" xfId="0" applyFont="1" applyBorder="1" applyAlignment="1">
      <alignment vertical="center" wrapText="1"/>
    </xf>
    <xf numFmtId="0" fontId="3" fillId="0" borderId="11" xfId="0" applyFont="1" applyBorder="1" applyAlignment="1">
      <alignment horizontal="right" vertical="center"/>
    </xf>
    <xf numFmtId="0" fontId="3" fillId="0" borderId="9" xfId="0" applyFont="1" applyBorder="1" applyAlignment="1">
      <alignment vertical="center"/>
    </xf>
    <xf numFmtId="38" fontId="3" fillId="0" borderId="11" xfId="0" applyNumberFormat="1" applyFont="1" applyBorder="1" applyAlignment="1">
      <alignment vertical="center"/>
    </xf>
    <xf numFmtId="38" fontId="3" fillId="0" borderId="1" xfId="0" applyNumberFormat="1" applyFont="1" applyBorder="1" applyAlignment="1">
      <alignment vertical="center"/>
    </xf>
    <xf numFmtId="0" fontId="3" fillId="0" borderId="11" xfId="0" applyFont="1" applyBorder="1" applyAlignment="1">
      <alignment vertical="center"/>
    </xf>
    <xf numFmtId="0" fontId="3" fillId="0" borderId="7" xfId="0" applyFont="1" applyBorder="1" applyAlignment="1">
      <alignment vertical="center"/>
    </xf>
    <xf numFmtId="0" fontId="3" fillId="0" borderId="12" xfId="0" applyFont="1" applyBorder="1" applyAlignment="1">
      <alignment vertical="center"/>
    </xf>
    <xf numFmtId="0" fontId="3" fillId="0" borderId="8" xfId="0" applyFont="1" applyBorder="1" applyAlignment="1">
      <alignment vertical="center"/>
    </xf>
    <xf numFmtId="0" fontId="3" fillId="0" borderId="3" xfId="0" applyFont="1" applyBorder="1" applyAlignment="1">
      <alignment horizontal="right" vertical="center"/>
    </xf>
    <xf numFmtId="0" fontId="3" fillId="0" borderId="3" xfId="0" applyFont="1" applyBorder="1" applyAlignment="1">
      <alignment vertical="center"/>
    </xf>
    <xf numFmtId="38" fontId="3" fillId="0" borderId="25" xfId="1" applyFont="1" applyFill="1" applyBorder="1" applyAlignment="1">
      <alignment vertical="center"/>
    </xf>
    <xf numFmtId="38" fontId="3" fillId="0" borderId="26" xfId="1" applyFont="1" applyFill="1" applyBorder="1" applyAlignment="1">
      <alignment vertical="center"/>
    </xf>
    <xf numFmtId="176" fontId="3" fillId="0" borderId="11" xfId="1" applyNumberFormat="1" applyFont="1" applyFill="1" applyBorder="1" applyAlignment="1">
      <alignment vertical="center"/>
    </xf>
    <xf numFmtId="0" fontId="3" fillId="0" borderId="10" xfId="0" applyFont="1" applyBorder="1" applyAlignment="1">
      <alignment vertical="center"/>
    </xf>
    <xf numFmtId="0" fontId="3" fillId="0" borderId="5" xfId="0" applyFont="1" applyBorder="1" applyAlignment="1">
      <alignment horizontal="right" vertical="center"/>
    </xf>
    <xf numFmtId="0" fontId="3" fillId="0" borderId="5" xfId="0" applyFont="1" applyBorder="1" applyAlignment="1">
      <alignment vertical="center"/>
    </xf>
    <xf numFmtId="38" fontId="3" fillId="0" borderId="21" xfId="1" applyFont="1" applyFill="1" applyBorder="1" applyAlignment="1">
      <alignment vertical="center"/>
    </xf>
    <xf numFmtId="0" fontId="3" fillId="0" borderId="4" xfId="0" applyFont="1" applyBorder="1" applyAlignment="1">
      <alignment vertical="center"/>
    </xf>
    <xf numFmtId="0" fontId="3" fillId="0" borderId="2" xfId="0" applyFont="1" applyBorder="1" applyAlignment="1">
      <alignment vertical="center"/>
    </xf>
    <xf numFmtId="0" fontId="3" fillId="0" borderId="6" xfId="0" applyFont="1" applyBorder="1" applyAlignment="1">
      <alignment vertical="center"/>
    </xf>
    <xf numFmtId="38" fontId="3" fillId="0" borderId="0" xfId="1" applyFont="1" applyFill="1" applyAlignment="1">
      <alignment vertical="center"/>
    </xf>
    <xf numFmtId="0" fontId="3" fillId="0" borderId="7" xfId="0" applyFont="1" applyBorder="1" applyAlignment="1">
      <alignment horizontal="right" vertical="center"/>
    </xf>
    <xf numFmtId="38" fontId="3" fillId="0" borderId="8" xfId="0" applyNumberFormat="1" applyFont="1" applyBorder="1" applyAlignment="1">
      <alignment vertical="center"/>
    </xf>
    <xf numFmtId="38" fontId="3" fillId="0" borderId="8" xfId="1" applyFont="1" applyFill="1" applyBorder="1" applyAlignment="1">
      <alignment vertical="center"/>
    </xf>
    <xf numFmtId="38" fontId="3" fillId="0" borderId="4" xfId="1" applyFont="1" applyFill="1" applyBorder="1" applyAlignment="1">
      <alignment vertical="center"/>
    </xf>
    <xf numFmtId="0" fontId="3" fillId="0" borderId="6" xfId="0" applyFont="1" applyBorder="1" applyAlignment="1">
      <alignment horizontal="right" vertical="center"/>
    </xf>
    <xf numFmtId="38" fontId="3" fillId="0" borderId="0" xfId="0" applyNumberFormat="1" applyFont="1" applyAlignment="1">
      <alignment vertical="center"/>
    </xf>
    <xf numFmtId="38" fontId="3" fillId="0" borderId="21" xfId="0" applyNumberFormat="1" applyFont="1" applyBorder="1" applyAlignment="1">
      <alignment vertical="center"/>
    </xf>
    <xf numFmtId="0" fontId="3" fillId="0" borderId="8" xfId="0" applyFont="1" applyBorder="1" applyAlignment="1">
      <alignment horizontal="right" vertical="center"/>
    </xf>
    <xf numFmtId="0" fontId="3" fillId="0" borderId="4" xfId="0" applyFont="1" applyBorder="1" applyAlignment="1">
      <alignment horizontal="right" vertical="center"/>
    </xf>
    <xf numFmtId="38" fontId="3" fillId="0" borderId="6" xfId="0" applyNumberFormat="1" applyFont="1" applyBorder="1" applyAlignment="1">
      <alignment vertical="center"/>
    </xf>
    <xf numFmtId="177" fontId="3" fillId="0" borderId="1" xfId="0" applyNumberFormat="1" applyFont="1" applyBorder="1" applyAlignment="1">
      <alignment horizontal="center" vertical="center"/>
    </xf>
    <xf numFmtId="0" fontId="3" fillId="0" borderId="11" xfId="0" applyFont="1" applyBorder="1" applyAlignment="1">
      <alignment horizontal="center" vertical="center"/>
    </xf>
    <xf numFmtId="38" fontId="3" fillId="0" borderId="21" xfId="1" applyFont="1" applyFill="1" applyBorder="1" applyAlignment="1">
      <alignment horizontal="right" vertical="center"/>
    </xf>
    <xf numFmtId="38" fontId="3" fillId="6" borderId="6" xfId="0" applyNumberFormat="1" applyFont="1" applyFill="1" applyBorder="1" applyAlignment="1">
      <alignment horizontal="right" vertical="center"/>
    </xf>
    <xf numFmtId="38" fontId="3" fillId="6" borderId="21" xfId="0" applyNumberFormat="1" applyFont="1" applyFill="1" applyBorder="1" applyAlignment="1">
      <alignment horizontal="right" vertical="center"/>
    </xf>
    <xf numFmtId="38" fontId="3" fillId="6" borderId="31" xfId="0" applyNumberFormat="1" applyFont="1" applyFill="1" applyBorder="1" applyAlignment="1">
      <alignment horizontal="right" vertical="center"/>
    </xf>
    <xf numFmtId="38" fontId="3" fillId="6" borderId="10" xfId="0" applyNumberFormat="1" applyFont="1" applyFill="1" applyBorder="1" applyAlignment="1">
      <alignment horizontal="right" vertical="center"/>
    </xf>
    <xf numFmtId="38" fontId="3" fillId="6" borderId="1" xfId="0" applyNumberFormat="1" applyFont="1" applyFill="1" applyBorder="1" applyAlignment="1">
      <alignment horizontal="right" vertical="center"/>
    </xf>
    <xf numFmtId="0" fontId="3" fillId="6" borderId="1" xfId="0" applyFont="1" applyFill="1" applyBorder="1" applyAlignment="1">
      <alignment horizontal="center" vertical="center"/>
    </xf>
    <xf numFmtId="38" fontId="3" fillId="6" borderId="17" xfId="0" applyNumberFormat="1" applyFont="1" applyFill="1" applyBorder="1" applyAlignment="1">
      <alignment horizontal="right" vertical="center"/>
    </xf>
    <xf numFmtId="38" fontId="3" fillId="6" borderId="34" xfId="0" applyNumberFormat="1" applyFont="1" applyFill="1" applyBorder="1" applyAlignment="1">
      <alignment horizontal="right" vertical="center"/>
    </xf>
    <xf numFmtId="38" fontId="3" fillId="6" borderId="19" xfId="0" applyNumberFormat="1" applyFont="1" applyFill="1" applyBorder="1" applyAlignment="1">
      <alignment horizontal="right" vertical="center"/>
    </xf>
    <xf numFmtId="0" fontId="3" fillId="6" borderId="19" xfId="0" applyFont="1" applyFill="1" applyBorder="1" applyAlignment="1">
      <alignment horizontal="center" vertical="center"/>
    </xf>
    <xf numFmtId="38" fontId="3" fillId="6" borderId="20" xfId="0" applyNumberFormat="1" applyFont="1" applyFill="1" applyBorder="1" applyAlignment="1">
      <alignment horizontal="right" vertical="center"/>
    </xf>
    <xf numFmtId="0" fontId="3" fillId="0" borderId="33" xfId="0" applyFont="1" applyBorder="1" applyAlignment="1">
      <alignment horizontal="center" vertical="center" wrapText="1"/>
    </xf>
    <xf numFmtId="0" fontId="3" fillId="2" borderId="10" xfId="0" applyFont="1" applyFill="1" applyBorder="1" applyAlignment="1" applyProtection="1">
      <alignment horizontal="center" vertical="center"/>
      <protection locked="0"/>
    </xf>
    <xf numFmtId="38" fontId="3" fillId="2" borderId="1" xfId="1" applyFont="1" applyFill="1" applyBorder="1" applyAlignment="1" applyProtection="1">
      <alignment horizontal="center" vertical="center"/>
      <protection locked="0"/>
    </xf>
    <xf numFmtId="38" fontId="3" fillId="2" borderId="17" xfId="1" applyFont="1" applyFill="1" applyBorder="1" applyAlignment="1" applyProtection="1">
      <alignment horizontal="center" vertical="center"/>
      <protection locked="0"/>
    </xf>
    <xf numFmtId="0" fontId="3" fillId="2" borderId="34" xfId="0" applyFont="1" applyFill="1" applyBorder="1" applyAlignment="1" applyProtection="1">
      <alignment horizontal="center" vertical="center"/>
      <protection locked="0"/>
    </xf>
    <xf numFmtId="38" fontId="3" fillId="2" borderId="19" xfId="1" applyFont="1" applyFill="1" applyBorder="1" applyAlignment="1" applyProtection="1">
      <alignment horizontal="center" vertical="center"/>
      <protection locked="0"/>
    </xf>
    <xf numFmtId="38" fontId="3" fillId="2" borderId="20" xfId="1" applyFont="1" applyFill="1" applyBorder="1" applyAlignment="1" applyProtection="1">
      <alignment horizontal="center" vertical="center"/>
      <protection locked="0"/>
    </xf>
    <xf numFmtId="0" fontId="11" fillId="2" borderId="32" xfId="0" applyFont="1" applyFill="1" applyBorder="1" applyAlignment="1" applyProtection="1">
      <alignment horizontal="center" vertical="center"/>
      <protection locked="0"/>
    </xf>
    <xf numFmtId="0" fontId="3" fillId="0" borderId="1" xfId="0" applyFont="1" applyBorder="1" applyAlignment="1">
      <alignment horizontal="center" vertical="center"/>
    </xf>
    <xf numFmtId="38" fontId="3" fillId="0" borderId="1" xfId="1" applyFont="1" applyFill="1" applyBorder="1" applyAlignment="1">
      <alignment horizontal="center" vertical="center"/>
    </xf>
    <xf numFmtId="0" fontId="3" fillId="0" borderId="10" xfId="0" applyFont="1" applyBorder="1" applyAlignment="1">
      <alignment horizontal="left" vertical="center"/>
    </xf>
    <xf numFmtId="0" fontId="3" fillId="0" borderId="6" xfId="0" applyFont="1" applyBorder="1" applyAlignment="1">
      <alignment horizontal="left" vertical="center"/>
    </xf>
    <xf numFmtId="0" fontId="3" fillId="0" borderId="8" xfId="0" applyFont="1" applyBorder="1" applyAlignment="1">
      <alignment horizontal="left" vertical="center"/>
    </xf>
    <xf numFmtId="0" fontId="3" fillId="0" borderId="25" xfId="0" applyFont="1" applyBorder="1" applyAlignment="1">
      <alignment vertical="center" shrinkToFit="1"/>
    </xf>
    <xf numFmtId="0" fontId="3" fillId="0" borderId="1" xfId="0" applyFont="1" applyBorder="1" applyAlignment="1">
      <alignment vertical="center" shrinkToFit="1"/>
    </xf>
    <xf numFmtId="0" fontId="3" fillId="0" borderId="41" xfId="0" applyFont="1" applyBorder="1" applyAlignment="1">
      <alignment horizontal="center" vertical="center"/>
    </xf>
    <xf numFmtId="0" fontId="3" fillId="0" borderId="42" xfId="0" applyFont="1" applyBorder="1" applyAlignment="1">
      <alignment vertical="center"/>
    </xf>
    <xf numFmtId="0" fontId="3" fillId="0" borderId="43" xfId="0" applyFont="1" applyBorder="1" applyAlignment="1">
      <alignment vertical="center"/>
    </xf>
    <xf numFmtId="177" fontId="3" fillId="0" borderId="21" xfId="0" applyNumberFormat="1" applyFont="1" applyBorder="1" applyAlignment="1">
      <alignment vertical="center"/>
    </xf>
    <xf numFmtId="0" fontId="16" fillId="0" borderId="3" xfId="0" applyFont="1" applyBorder="1" applyAlignment="1">
      <alignment horizontal="left" vertical="center" shrinkToFit="1"/>
    </xf>
    <xf numFmtId="0" fontId="16" fillId="0" borderId="0" xfId="0" applyFont="1" applyAlignment="1">
      <alignment horizontal="left" vertical="center" shrinkToFit="1"/>
    </xf>
    <xf numFmtId="0" fontId="16" fillId="0" borderId="4" xfId="0" applyFont="1" applyBorder="1" applyAlignment="1">
      <alignment horizontal="left" vertical="center" shrinkToFit="1"/>
    </xf>
    <xf numFmtId="0" fontId="3" fillId="0" borderId="44" xfId="0" applyFont="1" applyBorder="1" applyAlignment="1">
      <alignment horizontal="center" vertical="center" wrapText="1"/>
    </xf>
    <xf numFmtId="38" fontId="3" fillId="0" borderId="45" xfId="1" applyFont="1" applyFill="1" applyBorder="1" applyAlignment="1"/>
    <xf numFmtId="38" fontId="3" fillId="0" borderId="46" xfId="1" applyFont="1" applyFill="1" applyBorder="1" applyAlignment="1"/>
    <xf numFmtId="0" fontId="22" fillId="0" borderId="0" xfId="0" applyFont="1" applyAlignment="1">
      <alignment horizontal="right" vertical="center"/>
    </xf>
    <xf numFmtId="0" fontId="17" fillId="0" borderId="0" xfId="0" applyFont="1" applyAlignment="1">
      <alignment horizontal="center" vertical="center"/>
    </xf>
    <xf numFmtId="0" fontId="13" fillId="0" borderId="0" xfId="0" applyFont="1" applyAlignment="1">
      <alignment horizontal="center"/>
    </xf>
    <xf numFmtId="0" fontId="18" fillId="0" borderId="3" xfId="0" applyFont="1" applyBorder="1" applyAlignment="1">
      <alignment vertical="center" wrapText="1"/>
    </xf>
    <xf numFmtId="0" fontId="18" fillId="0" borderId="0" xfId="0" applyFont="1" applyAlignment="1">
      <alignment vertical="center" wrapText="1"/>
    </xf>
    <xf numFmtId="0" fontId="18" fillId="0" borderId="4" xfId="0" applyFont="1" applyBorder="1" applyAlignment="1">
      <alignment vertical="center" wrapText="1"/>
    </xf>
    <xf numFmtId="0" fontId="16" fillId="0" borderId="3" xfId="0" applyFont="1" applyBorder="1" applyAlignment="1">
      <alignment horizontal="left" vertical="center" shrinkToFit="1"/>
    </xf>
    <xf numFmtId="0" fontId="16" fillId="0" borderId="0" xfId="0" applyFont="1" applyAlignment="1">
      <alignment horizontal="left" vertical="center" shrinkToFit="1"/>
    </xf>
    <xf numFmtId="0" fontId="16" fillId="0" borderId="4" xfId="0" applyFont="1" applyBorder="1" applyAlignment="1">
      <alignment horizontal="left" vertical="center" shrinkToFit="1"/>
    </xf>
    <xf numFmtId="0" fontId="12" fillId="0" borderId="3" xfId="0" applyFont="1" applyBorder="1" applyAlignment="1">
      <alignment horizontal="left" vertical="center" shrinkToFit="1"/>
    </xf>
    <xf numFmtId="0" fontId="12" fillId="0" borderId="0" xfId="0" applyFont="1" applyAlignment="1">
      <alignment horizontal="left" vertical="center" shrinkToFit="1"/>
    </xf>
    <xf numFmtId="0" fontId="12" fillId="0" borderId="4" xfId="0" applyFont="1" applyBorder="1" applyAlignment="1">
      <alignment horizontal="left" vertical="center" shrinkToFit="1"/>
    </xf>
    <xf numFmtId="0" fontId="19" fillId="0" borderId="3" xfId="0" applyFont="1" applyBorder="1" applyAlignment="1">
      <alignment horizontal="left" vertical="center" shrinkToFit="1"/>
    </xf>
    <xf numFmtId="0" fontId="19" fillId="0" borderId="0" xfId="0" applyFont="1" applyAlignment="1">
      <alignment horizontal="left" vertical="center" shrinkToFit="1"/>
    </xf>
    <xf numFmtId="0" fontId="19" fillId="0" borderId="4" xfId="0" applyFont="1" applyBorder="1" applyAlignment="1">
      <alignment horizontal="left" vertical="center" shrinkToFit="1"/>
    </xf>
    <xf numFmtId="0" fontId="12" fillId="0" borderId="3" xfId="0" applyFont="1" applyBorder="1" applyAlignment="1">
      <alignment horizontal="left" vertical="center" wrapText="1"/>
    </xf>
    <xf numFmtId="0" fontId="12" fillId="0" borderId="0" xfId="0" applyFont="1" applyAlignment="1">
      <alignment horizontal="left" vertical="center" wrapText="1"/>
    </xf>
    <xf numFmtId="0" fontId="12" fillId="0" borderId="4" xfId="0" applyFont="1" applyBorder="1" applyAlignment="1">
      <alignment horizontal="left" vertical="center" wrapText="1"/>
    </xf>
    <xf numFmtId="0" fontId="12" fillId="0" borderId="0" xfId="0" applyFont="1" applyAlignment="1">
      <alignment horizontal="center" vertical="center"/>
    </xf>
    <xf numFmtId="0" fontId="3" fillId="0" borderId="30" xfId="0" applyFont="1" applyBorder="1" applyAlignment="1">
      <alignment horizontal="left" vertical="center"/>
    </xf>
    <xf numFmtId="0" fontId="3" fillId="0" borderId="21" xfId="0" applyFont="1" applyBorder="1" applyAlignment="1">
      <alignment horizontal="left" vertical="center"/>
    </xf>
    <xf numFmtId="0" fontId="3" fillId="0" borderId="18" xfId="0" applyFont="1" applyBorder="1" applyAlignment="1">
      <alignment horizontal="left" vertical="center"/>
    </xf>
    <xf numFmtId="0" fontId="3" fillId="0" borderId="19" xfId="0" applyFont="1" applyBorder="1" applyAlignment="1">
      <alignment horizontal="left" vertical="center"/>
    </xf>
    <xf numFmtId="0" fontId="12" fillId="0" borderId="5" xfId="0" applyFont="1" applyBorder="1" applyAlignment="1">
      <alignment horizontal="left" vertical="center" shrinkToFit="1"/>
    </xf>
    <xf numFmtId="0" fontId="12" fillId="0" borderId="2" xfId="0" applyFont="1" applyBorder="1" applyAlignment="1">
      <alignment horizontal="left" vertical="center" shrinkToFit="1"/>
    </xf>
    <xf numFmtId="0" fontId="12" fillId="0" borderId="6" xfId="0" applyFont="1" applyBorder="1" applyAlignment="1">
      <alignment horizontal="left" vertical="center" shrinkToFit="1"/>
    </xf>
    <xf numFmtId="0" fontId="22" fillId="0" borderId="0" xfId="0" applyFont="1" applyAlignment="1">
      <alignment horizontal="center"/>
    </xf>
  </cellXfs>
  <cellStyles count="5">
    <cellStyle name="パーセント" xfId="4" builtinId="5"/>
    <cellStyle name="桁区切り" xfId="1" builtinId="6"/>
    <cellStyle name="桁区切り 2" xfId="2" xr:uid="{00000000-0005-0000-0000-000002000000}"/>
    <cellStyle name="標準" xfId="0" builtinId="0"/>
    <cellStyle name="標準 2" xfId="3"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calcChain" Target="calcChain.xml" />
  <Relationship Id="rId3" Type="http://schemas.openxmlformats.org/officeDocument/2006/relationships/worksheet" Target="worksheets/sheet3.xml" />
  <Relationship Id="rId7" Type="http://schemas.openxmlformats.org/officeDocument/2006/relationships/sharedStrings" Target="sharedString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styles" Target="styles.xml" />
  <Relationship Id="rId5" Type="http://schemas.openxmlformats.org/officeDocument/2006/relationships/theme" Target="theme/theme1.xml" />
  <Relationship Id="rId4" Type="http://schemas.openxmlformats.org/officeDocument/2006/relationships/worksheet" Target="worksheets/sheet4.xml" />
</Relationships>
</file>

<file path=xl/drawings/drawing1.xml><?xml version="1.0" encoding="utf-8"?>
<xdr:wsDr xmlns:xdr="http://schemas.openxmlformats.org/drawingml/2006/spreadsheetDrawing" xmlns:a="http://schemas.openxmlformats.org/drawingml/2006/main">
  <xdr:twoCellAnchor>
    <xdr:from>
      <xdr:col>8</xdr:col>
      <xdr:colOff>134470</xdr:colOff>
      <xdr:row>37</xdr:row>
      <xdr:rowOff>53788</xdr:rowOff>
    </xdr:from>
    <xdr:to>
      <xdr:col>8</xdr:col>
      <xdr:colOff>779929</xdr:colOff>
      <xdr:row>40</xdr:row>
      <xdr:rowOff>44823</xdr:rowOff>
    </xdr:to>
    <xdr:sp macro="" textlink="">
      <xdr:nvSpPr>
        <xdr:cNvPr id="2" name="矢印: 下 1">
          <a:extLst>
            <a:ext uri="{FF2B5EF4-FFF2-40B4-BE49-F238E27FC236}">
              <a16:creationId xmlns:a16="http://schemas.microsoft.com/office/drawing/2014/main" id="{0B7F7AF5-E766-AC7A-17AB-2060DC502C5C}"/>
            </a:ext>
          </a:extLst>
        </xdr:cNvPr>
        <xdr:cNvSpPr/>
      </xdr:nvSpPr>
      <xdr:spPr>
        <a:xfrm>
          <a:off x="6329082" y="5737412"/>
          <a:ext cx="645459" cy="627529"/>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690282</xdr:colOff>
      <xdr:row>37</xdr:row>
      <xdr:rowOff>53788</xdr:rowOff>
    </xdr:from>
    <xdr:to>
      <xdr:col>3</xdr:col>
      <xdr:colOff>152400</xdr:colOff>
      <xdr:row>40</xdr:row>
      <xdr:rowOff>44823</xdr:rowOff>
    </xdr:to>
    <xdr:sp macro="" textlink="">
      <xdr:nvSpPr>
        <xdr:cNvPr id="3" name="矢印: 下 2">
          <a:extLst>
            <a:ext uri="{FF2B5EF4-FFF2-40B4-BE49-F238E27FC236}">
              <a16:creationId xmlns:a16="http://schemas.microsoft.com/office/drawing/2014/main" id="{06963490-A1F7-46ED-B0E6-596D515E5B25}"/>
            </a:ext>
          </a:extLst>
        </xdr:cNvPr>
        <xdr:cNvSpPr/>
      </xdr:nvSpPr>
      <xdr:spPr>
        <a:xfrm>
          <a:off x="1021976" y="5737412"/>
          <a:ext cx="645459" cy="627529"/>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4.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P91"/>
  <sheetViews>
    <sheetView tabSelected="1" zoomScale="80" zoomScaleNormal="80" workbookViewId="0">
      <selection activeCell="E33" sqref="E33"/>
    </sheetView>
  </sheetViews>
  <sheetFormatPr defaultColWidth="9" defaultRowHeight="18.75" x14ac:dyDescent="0.4"/>
  <cols>
    <col min="1" max="1" width="4.375" style="1" customWidth="1"/>
    <col min="2" max="2" width="10" style="1" customWidth="1"/>
    <col min="3" max="3" width="5.5" style="1" bestFit="1" customWidth="1"/>
    <col min="4" max="6" width="12" style="1" customWidth="1"/>
    <col min="7" max="8" width="12.75" style="1" customWidth="1"/>
    <col min="9" max="9" width="11.75" style="1" customWidth="1"/>
    <col min="10" max="10" width="12.75" style="1" customWidth="1"/>
    <col min="11" max="11" width="4.375" style="1" customWidth="1"/>
    <col min="43" max="52" width="9" style="1" customWidth="1"/>
    <col min="53" max="16384" width="9" style="1"/>
  </cols>
  <sheetData>
    <row r="1" spans="1:10" ht="31.5" customHeight="1" x14ac:dyDescent="0.4">
      <c r="A1" s="196" t="s">
        <v>154</v>
      </c>
      <c r="B1" s="196"/>
      <c r="C1" s="196"/>
      <c r="D1" s="196"/>
      <c r="E1" s="196"/>
      <c r="F1" s="196"/>
      <c r="G1" s="196"/>
      <c r="H1" s="196"/>
      <c r="I1" s="196"/>
      <c r="J1" s="196"/>
    </row>
    <row r="3" spans="1:10" x14ac:dyDescent="0.4">
      <c r="A3" s="100" t="s">
        <v>155</v>
      </c>
    </row>
    <row r="5" spans="1:10" x14ac:dyDescent="0.4">
      <c r="E5" s="213" t="s">
        <v>130</v>
      </c>
      <c r="F5" s="213"/>
      <c r="G5" s="213"/>
    </row>
    <row r="6" spans="1:10" ht="17.25" customHeight="1" x14ac:dyDescent="0.4">
      <c r="A6" s="104"/>
      <c r="B6" s="101"/>
      <c r="C6" s="101"/>
      <c r="D6" s="101"/>
      <c r="E6" s="213"/>
      <c r="F6" s="213"/>
      <c r="G6" s="213"/>
      <c r="H6" s="102"/>
      <c r="I6" s="101"/>
      <c r="J6" s="103"/>
    </row>
    <row r="7" spans="1:10" ht="42" customHeight="1" x14ac:dyDescent="0.4">
      <c r="A7" s="198" t="s">
        <v>126</v>
      </c>
      <c r="B7" s="199"/>
      <c r="C7" s="199"/>
      <c r="D7" s="199"/>
      <c r="E7" s="199"/>
      <c r="F7" s="199"/>
      <c r="G7" s="199"/>
      <c r="H7" s="199"/>
      <c r="I7" s="199"/>
      <c r="J7" s="200"/>
    </row>
    <row r="8" spans="1:10" ht="35.1" customHeight="1" x14ac:dyDescent="0.4">
      <c r="A8" s="210" t="s">
        <v>145</v>
      </c>
      <c r="B8" s="211"/>
      <c r="C8" s="211"/>
      <c r="D8" s="211"/>
      <c r="E8" s="211"/>
      <c r="F8" s="211"/>
      <c r="G8" s="211"/>
      <c r="H8" s="211"/>
      <c r="I8" s="211"/>
      <c r="J8" s="212"/>
    </row>
    <row r="9" spans="1:10" ht="17.25" customHeight="1" x14ac:dyDescent="0.4">
      <c r="A9" s="201" t="s">
        <v>156</v>
      </c>
      <c r="B9" s="202"/>
      <c r="C9" s="202"/>
      <c r="D9" s="202"/>
      <c r="E9" s="202"/>
      <c r="F9" s="202"/>
      <c r="G9" s="202"/>
      <c r="H9" s="202"/>
      <c r="I9" s="202"/>
      <c r="J9" s="203"/>
    </row>
    <row r="10" spans="1:10" ht="17.25" customHeight="1" x14ac:dyDescent="0.4">
      <c r="A10" s="189"/>
      <c r="B10" s="190"/>
      <c r="C10" s="190"/>
      <c r="D10" s="190"/>
      <c r="E10" s="190"/>
      <c r="F10" s="190"/>
      <c r="G10" s="190"/>
      <c r="H10" s="190"/>
      <c r="I10" s="190"/>
      <c r="J10" s="191"/>
    </row>
    <row r="11" spans="1:10" ht="17.25" customHeight="1" x14ac:dyDescent="0.4">
      <c r="A11" s="204" t="s">
        <v>146</v>
      </c>
      <c r="B11" s="205"/>
      <c r="C11" s="205"/>
      <c r="D11" s="205"/>
      <c r="E11" s="205"/>
      <c r="F11" s="205"/>
      <c r="G11" s="205"/>
      <c r="H11" s="205"/>
      <c r="I11" s="205"/>
      <c r="J11" s="206"/>
    </row>
    <row r="12" spans="1:10" ht="17.25" customHeight="1" x14ac:dyDescent="0.4">
      <c r="A12" s="204" t="s">
        <v>158</v>
      </c>
      <c r="B12" s="205"/>
      <c r="C12" s="205"/>
      <c r="D12" s="205"/>
      <c r="E12" s="205"/>
      <c r="F12" s="205"/>
      <c r="G12" s="205"/>
      <c r="H12" s="205"/>
      <c r="I12" s="205"/>
      <c r="J12" s="206"/>
    </row>
    <row r="13" spans="1:10" ht="17.25" customHeight="1" x14ac:dyDescent="0.4">
      <c r="A13" s="204" t="s">
        <v>159</v>
      </c>
      <c r="B13" s="205"/>
      <c r="C13" s="205"/>
      <c r="D13" s="205"/>
      <c r="E13" s="205"/>
      <c r="F13" s="205"/>
      <c r="G13" s="205"/>
      <c r="H13" s="205"/>
      <c r="I13" s="205"/>
      <c r="J13" s="206"/>
    </row>
    <row r="14" spans="1:10" ht="17.25" customHeight="1" x14ac:dyDescent="0.4">
      <c r="A14" s="204" t="s">
        <v>147</v>
      </c>
      <c r="B14" s="205"/>
      <c r="C14" s="205"/>
      <c r="D14" s="205"/>
      <c r="E14" s="205"/>
      <c r="F14" s="205"/>
      <c r="G14" s="205"/>
      <c r="H14" s="205"/>
      <c r="I14" s="205"/>
      <c r="J14" s="206"/>
    </row>
    <row r="15" spans="1:10" x14ac:dyDescent="0.4">
      <c r="A15" s="207" t="s">
        <v>148</v>
      </c>
      <c r="B15" s="208"/>
      <c r="C15" s="208"/>
      <c r="D15" s="208"/>
      <c r="E15" s="208"/>
      <c r="F15" s="208"/>
      <c r="G15" s="208"/>
      <c r="H15" s="208"/>
      <c r="I15" s="208"/>
      <c r="J15" s="209"/>
    </row>
    <row r="16" spans="1:10" ht="17.25" customHeight="1" x14ac:dyDescent="0.4">
      <c r="A16" s="207" t="s">
        <v>144</v>
      </c>
      <c r="B16" s="208"/>
      <c r="C16" s="208"/>
      <c r="D16" s="208"/>
      <c r="E16" s="208"/>
      <c r="F16" s="208"/>
      <c r="G16" s="208"/>
      <c r="H16" s="208"/>
      <c r="I16" s="208"/>
      <c r="J16" s="209"/>
    </row>
    <row r="17" spans="1:11" ht="17.25" customHeight="1" x14ac:dyDescent="0.4">
      <c r="A17" s="207" t="s">
        <v>127</v>
      </c>
      <c r="B17" s="208"/>
      <c r="C17" s="208"/>
      <c r="D17" s="208"/>
      <c r="E17" s="208"/>
      <c r="F17" s="208"/>
      <c r="G17" s="208"/>
      <c r="H17" s="208"/>
      <c r="I17" s="208"/>
      <c r="J17" s="209"/>
    </row>
    <row r="18" spans="1:11" ht="17.25" customHeight="1" x14ac:dyDescent="0.4">
      <c r="A18" s="207" t="s">
        <v>128</v>
      </c>
      <c r="B18" s="208"/>
      <c r="C18" s="208"/>
      <c r="D18" s="208"/>
      <c r="E18" s="208"/>
      <c r="F18" s="208"/>
      <c r="G18" s="208"/>
      <c r="H18" s="208"/>
      <c r="I18" s="208"/>
      <c r="J18" s="209"/>
    </row>
    <row r="19" spans="1:11" ht="17.25" customHeight="1" x14ac:dyDescent="0.4">
      <c r="A19" s="204" t="s">
        <v>129</v>
      </c>
      <c r="B19" s="205"/>
      <c r="C19" s="205"/>
      <c r="D19" s="205"/>
      <c r="E19" s="205"/>
      <c r="F19" s="205"/>
      <c r="G19" s="205"/>
      <c r="H19" s="205"/>
      <c r="I19" s="205"/>
      <c r="J19" s="206"/>
    </row>
    <row r="20" spans="1:11" ht="17.25" customHeight="1" x14ac:dyDescent="0.4">
      <c r="A20" s="204" t="s">
        <v>149</v>
      </c>
      <c r="B20" s="205"/>
      <c r="C20" s="205"/>
      <c r="D20" s="205"/>
      <c r="E20" s="205"/>
      <c r="F20" s="205"/>
      <c r="G20" s="205"/>
      <c r="H20" s="205"/>
      <c r="I20" s="205"/>
      <c r="J20" s="206"/>
    </row>
    <row r="21" spans="1:11" ht="17.25" customHeight="1" x14ac:dyDescent="0.4">
      <c r="A21" s="204" t="s">
        <v>157</v>
      </c>
      <c r="B21" s="205"/>
      <c r="C21" s="205"/>
      <c r="D21" s="205"/>
      <c r="E21" s="205"/>
      <c r="F21" s="205"/>
      <c r="G21" s="205"/>
      <c r="H21" s="205"/>
      <c r="I21" s="205"/>
      <c r="J21" s="206"/>
    </row>
    <row r="22" spans="1:11" ht="17.25" customHeight="1" x14ac:dyDescent="0.4">
      <c r="A22" s="204" t="s">
        <v>140</v>
      </c>
      <c r="B22" s="205"/>
      <c r="C22" s="205"/>
      <c r="D22" s="205"/>
      <c r="E22" s="205"/>
      <c r="F22" s="205"/>
      <c r="G22" s="205"/>
      <c r="H22" s="205"/>
      <c r="I22" s="205"/>
      <c r="J22" s="206"/>
    </row>
    <row r="23" spans="1:11" ht="17.25" customHeight="1" x14ac:dyDescent="0.4">
      <c r="A23" s="204" t="s">
        <v>141</v>
      </c>
      <c r="B23" s="205"/>
      <c r="C23" s="205"/>
      <c r="D23" s="205"/>
      <c r="E23" s="205"/>
      <c r="F23" s="205"/>
      <c r="G23" s="205"/>
      <c r="H23" s="205"/>
      <c r="I23" s="205"/>
      <c r="J23" s="206"/>
    </row>
    <row r="24" spans="1:11" ht="17.25" customHeight="1" x14ac:dyDescent="0.4">
      <c r="A24" s="204" t="s">
        <v>142</v>
      </c>
      <c r="B24" s="205"/>
      <c r="C24" s="205"/>
      <c r="D24" s="205"/>
      <c r="E24" s="205"/>
      <c r="F24" s="205"/>
      <c r="G24" s="205"/>
      <c r="H24" s="205"/>
      <c r="I24" s="205"/>
      <c r="J24" s="206"/>
    </row>
    <row r="25" spans="1:11" ht="17.25" customHeight="1" x14ac:dyDescent="0.4">
      <c r="A25" s="204" t="s">
        <v>160</v>
      </c>
      <c r="B25" s="205"/>
      <c r="C25" s="205"/>
      <c r="D25" s="205"/>
      <c r="E25" s="205"/>
      <c r="F25" s="205"/>
      <c r="G25" s="205"/>
      <c r="H25" s="205"/>
      <c r="I25" s="205"/>
      <c r="J25" s="206"/>
    </row>
    <row r="26" spans="1:11" ht="17.25" customHeight="1" x14ac:dyDescent="0.4">
      <c r="A26" s="204" t="s">
        <v>143</v>
      </c>
      <c r="B26" s="205"/>
      <c r="C26" s="205"/>
      <c r="D26" s="205"/>
      <c r="E26" s="205"/>
      <c r="F26" s="205"/>
      <c r="G26" s="205"/>
      <c r="H26" s="205"/>
      <c r="I26" s="205"/>
      <c r="J26" s="206"/>
    </row>
    <row r="27" spans="1:11" x14ac:dyDescent="0.4">
      <c r="A27" s="218"/>
      <c r="B27" s="219"/>
      <c r="C27" s="219"/>
      <c r="D27" s="219"/>
      <c r="E27" s="219"/>
      <c r="F27" s="219"/>
      <c r="G27" s="219"/>
      <c r="H27" s="219"/>
      <c r="I27" s="219"/>
      <c r="J27" s="220"/>
    </row>
    <row r="28" spans="1:11" ht="26.45" customHeight="1" thickBot="1" x14ac:dyDescent="0.45"/>
    <row r="29" spans="1:11" ht="19.5" thickBot="1" x14ac:dyDescent="0.45">
      <c r="D29" s="99"/>
      <c r="E29" s="99" t="s">
        <v>123</v>
      </c>
      <c r="F29" s="177" t="s">
        <v>131</v>
      </c>
      <c r="J29" s="195" t="str">
        <f>VLOOKUP(IF(F29=計算表!C5,1,IF(C32=0,2,IF(計算表!C19,0,3))),計算表!$B$9:$C$13,2,FALSE)</f>
        <v>世帯主の国保加入の有無を入力してください</v>
      </c>
    </row>
    <row r="30" spans="1:11" s="4" customFormat="1" ht="28.5" customHeight="1" thickBot="1" x14ac:dyDescent="0.2">
      <c r="A30" s="1"/>
      <c r="B30" s="2"/>
      <c r="C30" s="1"/>
      <c r="D30" s="1"/>
      <c r="E30" s="1"/>
      <c r="F30" s="1"/>
      <c r="G30" s="1"/>
      <c r="H30" s="1"/>
      <c r="I30" s="1"/>
      <c r="J30" s="1"/>
      <c r="K30" s="1"/>
    </row>
    <row r="31" spans="1:11" ht="28.5" customHeight="1" x14ac:dyDescent="0.4">
      <c r="A31" s="75"/>
      <c r="B31" s="91" t="s">
        <v>0</v>
      </c>
      <c r="C31" s="170" t="s">
        <v>1</v>
      </c>
      <c r="D31" s="87" t="s">
        <v>23</v>
      </c>
      <c r="E31" s="87" t="s">
        <v>63</v>
      </c>
      <c r="F31" s="88" t="s">
        <v>26</v>
      </c>
      <c r="G31" s="86" t="s">
        <v>24</v>
      </c>
      <c r="H31" s="87" t="s">
        <v>25</v>
      </c>
      <c r="I31" s="87" t="s">
        <v>26</v>
      </c>
      <c r="J31" s="88" t="s">
        <v>27</v>
      </c>
      <c r="K31" s="97"/>
    </row>
    <row r="32" spans="1:11" ht="28.5" customHeight="1" x14ac:dyDescent="0.4">
      <c r="B32" s="89" t="s">
        <v>98</v>
      </c>
      <c r="C32" s="171"/>
      <c r="D32" s="172"/>
      <c r="E32" s="172"/>
      <c r="F32" s="173"/>
      <c r="G32" s="69">
        <f>IF(C32&lt;&gt;"",給与所得表!F15,0)</f>
        <v>0</v>
      </c>
      <c r="H32" s="70">
        <f>IF(C32&lt;&gt;"",年金所得表!I17,0)</f>
        <v>0</v>
      </c>
      <c r="I32" s="70">
        <f>IF(C32&lt;&gt;"",F32,0)</f>
        <v>0</v>
      </c>
      <c r="J32" s="71">
        <f>SUM(G32:I32)+計算表!D19</f>
        <v>0</v>
      </c>
      <c r="K32" s="98"/>
    </row>
    <row r="33" spans="1:11" ht="28.5" customHeight="1" x14ac:dyDescent="0.4">
      <c r="A33" s="4"/>
      <c r="B33" s="89" t="s">
        <v>106</v>
      </c>
      <c r="C33" s="171"/>
      <c r="D33" s="172"/>
      <c r="E33" s="172"/>
      <c r="F33" s="173"/>
      <c r="G33" s="69">
        <f>IF(AND(C33&lt;&gt;"",C32&lt;&gt;""),給与所得表!G15,0)</f>
        <v>0</v>
      </c>
      <c r="H33" s="70">
        <f>IF(AND(C33&lt;&gt;"",C32&lt;&gt;""),年金所得表!J17,0)</f>
        <v>0</v>
      </c>
      <c r="I33" s="70">
        <f>IF(AND(C33&lt;&gt;"",C32&lt;&gt;""),F33,0)</f>
        <v>0</v>
      </c>
      <c r="J33" s="71">
        <f>SUM(G33:I33)+計算表!D20</f>
        <v>0</v>
      </c>
      <c r="K33" s="98"/>
    </row>
    <row r="34" spans="1:11" ht="28.5" customHeight="1" x14ac:dyDescent="0.4">
      <c r="B34" s="89" t="s">
        <v>107</v>
      </c>
      <c r="C34" s="171"/>
      <c r="D34" s="172"/>
      <c r="E34" s="172"/>
      <c r="F34" s="173"/>
      <c r="G34" s="69">
        <f>IF(AND(C34&lt;&gt;"",C32&lt;&gt;""),給与所得表!H15,0)</f>
        <v>0</v>
      </c>
      <c r="H34" s="70">
        <f>IF(AND(C34&lt;&gt;"",C32&lt;&gt;""),年金所得表!K17,0)</f>
        <v>0</v>
      </c>
      <c r="I34" s="70">
        <f>IF(AND(C34&lt;&gt;"",C32&lt;&gt;""),F34,0)</f>
        <v>0</v>
      </c>
      <c r="J34" s="71">
        <f>SUM(G34:I34)+計算表!D21</f>
        <v>0</v>
      </c>
      <c r="K34" s="98"/>
    </row>
    <row r="35" spans="1:11" ht="28.5" customHeight="1" x14ac:dyDescent="0.4">
      <c r="B35" s="89" t="s">
        <v>108</v>
      </c>
      <c r="C35" s="171"/>
      <c r="D35" s="172"/>
      <c r="E35" s="172"/>
      <c r="F35" s="173"/>
      <c r="G35" s="69">
        <f>IF(AND(C35&lt;&gt;"",C32&lt;&gt;""),給与所得表!I15,0)</f>
        <v>0</v>
      </c>
      <c r="H35" s="70">
        <f>IF(AND(C35&lt;&gt;"",C32&lt;&gt;""),年金所得表!L17,0)</f>
        <v>0</v>
      </c>
      <c r="I35" s="70">
        <f>IF(AND(C35&lt;&gt;"",C32&lt;&gt;""),F35,0)</f>
        <v>0</v>
      </c>
      <c r="J35" s="71">
        <f>SUM(G35:I35)+計算表!D22</f>
        <v>0</v>
      </c>
      <c r="K35" s="98"/>
    </row>
    <row r="36" spans="1:11" ht="28.5" customHeight="1" thickBot="1" x14ac:dyDescent="0.45">
      <c r="B36" s="90" t="s">
        <v>109</v>
      </c>
      <c r="C36" s="174"/>
      <c r="D36" s="175"/>
      <c r="E36" s="175"/>
      <c r="F36" s="176"/>
      <c r="G36" s="72">
        <f>IF(AND(C36&lt;&gt;"",C32&lt;&gt;""),給与所得表!J15,0)</f>
        <v>0</v>
      </c>
      <c r="H36" s="73">
        <f>IF(AND(C36&lt;&gt;"",C32&lt;&gt;""),年金所得表!M17,0)</f>
        <v>0</v>
      </c>
      <c r="I36" s="73">
        <f>IF(AND(C36&lt;&gt;"",C32&lt;&gt;""),F36,0)</f>
        <v>0</v>
      </c>
      <c r="J36" s="74">
        <f>SUM(G36:I36)+計算表!D23</f>
        <v>0</v>
      </c>
      <c r="K36" s="98"/>
    </row>
    <row r="37" spans="1:11" x14ac:dyDescent="0.4">
      <c r="I37" s="3"/>
    </row>
    <row r="38" spans="1:11" x14ac:dyDescent="0.4">
      <c r="C38" s="2"/>
      <c r="D38" s="2"/>
    </row>
    <row r="39" spans="1:11" ht="26.25" x14ac:dyDescent="0.4">
      <c r="C39" s="2"/>
      <c r="D39" s="197" t="s">
        <v>111</v>
      </c>
      <c r="E39" s="197"/>
      <c r="F39" s="197"/>
      <c r="G39" s="197"/>
      <c r="H39" s="197"/>
    </row>
    <row r="40" spans="1:11" x14ac:dyDescent="0.4">
      <c r="C40" s="2"/>
      <c r="D40" s="221" t="str">
        <f>VLOOKUP(IF(F29=計算表!C5,1,IF(C32=0,2,IF(計算表!C19,0,3))),計算表!$B$9:$C$13,2,FALSE)</f>
        <v>世帯主の国保加入の有無を入力してください</v>
      </c>
      <c r="E40" s="221"/>
      <c r="F40" s="221"/>
      <c r="G40" s="221"/>
      <c r="H40" s="221"/>
    </row>
    <row r="41" spans="1:11" ht="19.5" thickBot="1" x14ac:dyDescent="0.45">
      <c r="C41" s="2"/>
    </row>
    <row r="42" spans="1:11" ht="34.15" customHeight="1" thickBot="1" x14ac:dyDescent="0.45">
      <c r="C42" s="2"/>
      <c r="D42" s="95" t="s">
        <v>112</v>
      </c>
      <c r="E42" s="94" t="s">
        <v>116</v>
      </c>
      <c r="F42" s="92" t="s">
        <v>117</v>
      </c>
      <c r="G42" s="92" t="s">
        <v>118</v>
      </c>
      <c r="H42" s="93" t="s">
        <v>119</v>
      </c>
    </row>
    <row r="43" spans="1:11" ht="34.15" customHeight="1" x14ac:dyDescent="0.4">
      <c r="C43" s="2"/>
      <c r="D43" s="96" t="s">
        <v>113</v>
      </c>
      <c r="E43" s="159">
        <f>IF(J29=" ",計算表!E43,0)</f>
        <v>0</v>
      </c>
      <c r="F43" s="160">
        <f>IF(J29=" ",計算表!E44,0)</f>
        <v>0</v>
      </c>
      <c r="G43" s="160">
        <f>IF(J29=" ",計算表!E45,0)</f>
        <v>0</v>
      </c>
      <c r="H43" s="161">
        <f>IF(J29=" ",計算表!E46,0)</f>
        <v>0</v>
      </c>
      <c r="I43" s="107" t="str">
        <f>"　限度額 "&amp;TEXT(計算表!J6,"000,000")&amp;"円"</f>
        <v>　限度額 650,000円</v>
      </c>
    </row>
    <row r="44" spans="1:11" ht="34.15" customHeight="1" x14ac:dyDescent="0.4">
      <c r="C44" s="2"/>
      <c r="D44" s="89" t="s">
        <v>114</v>
      </c>
      <c r="E44" s="162">
        <f>IF(J29=" ",計算表!E47,0)</f>
        <v>0</v>
      </c>
      <c r="F44" s="163">
        <f>IF(J29=" ",計算表!E48,0)</f>
        <v>0</v>
      </c>
      <c r="G44" s="164" t="s">
        <v>120</v>
      </c>
      <c r="H44" s="165">
        <f>IF(J29=" ",計算表!E49,0)</f>
        <v>0</v>
      </c>
      <c r="I44" s="107" t="str">
        <f>"　限度額 "&amp;TEXT(計算表!J9,"000,000")&amp;"円"</f>
        <v>　限度額 220,000円</v>
      </c>
    </row>
    <row r="45" spans="1:11" ht="34.15" customHeight="1" thickBot="1" x14ac:dyDescent="0.45">
      <c r="C45" s="2"/>
      <c r="D45" s="90" t="s">
        <v>115</v>
      </c>
      <c r="E45" s="166">
        <f>IF(J29=" ",計算表!E50,0)</f>
        <v>0</v>
      </c>
      <c r="F45" s="167">
        <f>IF(J29=" ",計算表!E51,0)</f>
        <v>0</v>
      </c>
      <c r="G45" s="168" t="s">
        <v>120</v>
      </c>
      <c r="H45" s="169">
        <f>IF(J29=" ",計算表!E52,0)</f>
        <v>0</v>
      </c>
      <c r="I45" s="107" t="str">
        <f>"　限度額 "&amp;TEXT(計算表!J12,"000,000")&amp;"円"</f>
        <v>　限度額 170,000円</v>
      </c>
    </row>
    <row r="46" spans="1:11" ht="34.35" customHeight="1" x14ac:dyDescent="0.4">
      <c r="C46" s="2"/>
      <c r="D46" s="214" t="s">
        <v>121</v>
      </c>
      <c r="E46" s="215"/>
      <c r="F46" s="215"/>
      <c r="G46" s="215"/>
      <c r="H46" s="161">
        <f>IF(J29=" ",計算表!E55,0)</f>
        <v>0</v>
      </c>
    </row>
    <row r="47" spans="1:11" ht="34.35" customHeight="1" thickBot="1" x14ac:dyDescent="0.45">
      <c r="C47" s="2"/>
      <c r="D47" s="216" t="s">
        <v>122</v>
      </c>
      <c r="E47" s="217"/>
      <c r="F47" s="217"/>
      <c r="G47" s="217"/>
      <c r="H47" s="169">
        <f>IF(J29=" ",計算表!E56,0)</f>
        <v>0</v>
      </c>
    </row>
    <row r="48" spans="1:11" x14ac:dyDescent="0.4">
      <c r="C48" s="2"/>
    </row>
    <row r="49" spans="3:7" x14ac:dyDescent="0.4">
      <c r="C49" s="2"/>
    </row>
    <row r="50" spans="3:7" x14ac:dyDescent="0.4">
      <c r="C50" s="2"/>
    </row>
    <row r="51" spans="3:7" x14ac:dyDescent="0.4">
      <c r="C51" s="2"/>
    </row>
    <row r="52" spans="3:7" x14ac:dyDescent="0.4">
      <c r="C52" s="2"/>
    </row>
    <row r="53" spans="3:7" x14ac:dyDescent="0.4">
      <c r="C53" s="2"/>
    </row>
    <row r="54" spans="3:7" x14ac:dyDescent="0.4">
      <c r="C54" s="2"/>
      <c r="E54" s="2"/>
      <c r="F54" s="5"/>
      <c r="G54" s="5"/>
    </row>
    <row r="55" spans="3:7" x14ac:dyDescent="0.4">
      <c r="C55" s="2"/>
      <c r="D55" s="2"/>
    </row>
    <row r="56" spans="3:7" x14ac:dyDescent="0.4">
      <c r="C56" s="2"/>
      <c r="D56" s="2"/>
    </row>
    <row r="57" spans="3:7" x14ac:dyDescent="0.4">
      <c r="C57" s="2"/>
      <c r="D57" s="2"/>
    </row>
    <row r="58" spans="3:7" x14ac:dyDescent="0.4">
      <c r="C58" s="2"/>
      <c r="D58" s="2"/>
    </row>
    <row r="59" spans="3:7" x14ac:dyDescent="0.4">
      <c r="C59" s="2"/>
      <c r="D59" s="2"/>
    </row>
    <row r="60" spans="3:7" x14ac:dyDescent="0.4">
      <c r="C60" s="2"/>
      <c r="D60" s="2"/>
    </row>
    <row r="61" spans="3:7" x14ac:dyDescent="0.4">
      <c r="C61" s="2"/>
      <c r="D61" s="2"/>
    </row>
    <row r="62" spans="3:7" x14ac:dyDescent="0.4">
      <c r="C62" s="2"/>
      <c r="D62" s="2"/>
    </row>
    <row r="63" spans="3:7" x14ac:dyDescent="0.4">
      <c r="C63" s="2"/>
      <c r="D63" s="2"/>
    </row>
    <row r="64" spans="3:7" x14ac:dyDescent="0.4">
      <c r="C64" s="2"/>
      <c r="D64" s="2"/>
    </row>
    <row r="65" spans="3:4" x14ac:dyDescent="0.4">
      <c r="C65" s="2"/>
      <c r="D65" s="2"/>
    </row>
    <row r="66" spans="3:4" x14ac:dyDescent="0.4">
      <c r="C66" s="2"/>
      <c r="D66" s="2"/>
    </row>
    <row r="91" ht="12" customHeight="1" x14ac:dyDescent="0.4"/>
  </sheetData>
  <sheetProtection algorithmName="SHA-512" hashValue="77fKvDq2NgUPuZZBjAXIgamkMm/rMfj/oVyimTn7T5pZ4uSqDLAzxoG7PinpKSs/khNSxZMGPF3jdHl20yFxzQ==" saltValue="9JmNotOikjI8ZPPZWMZQmg==" spinCount="100000" sheet="1" selectLockedCells="1"/>
  <mergeCells count="26">
    <mergeCell ref="D46:G46"/>
    <mergeCell ref="D47:G47"/>
    <mergeCell ref="A17:J17"/>
    <mergeCell ref="A18:J18"/>
    <mergeCell ref="A19:J19"/>
    <mergeCell ref="A21:J21"/>
    <mergeCell ref="A27:J27"/>
    <mergeCell ref="A26:J26"/>
    <mergeCell ref="A20:J20"/>
    <mergeCell ref="D40:H40"/>
    <mergeCell ref="A1:J1"/>
    <mergeCell ref="D39:H39"/>
    <mergeCell ref="A7:J7"/>
    <mergeCell ref="A9:J9"/>
    <mergeCell ref="A11:J11"/>
    <mergeCell ref="A12:J12"/>
    <mergeCell ref="A13:J13"/>
    <mergeCell ref="A14:J14"/>
    <mergeCell ref="A15:J15"/>
    <mergeCell ref="A8:J8"/>
    <mergeCell ref="A16:J16"/>
    <mergeCell ref="A22:J22"/>
    <mergeCell ref="A23:J23"/>
    <mergeCell ref="A24:J24"/>
    <mergeCell ref="A25:J25"/>
    <mergeCell ref="E5:G6"/>
  </mergeCells>
  <phoneticPr fontId="2"/>
  <dataValidations count="2">
    <dataValidation type="whole" imeMode="off" allowBlank="1" showInputMessage="1" showErrorMessage="1" errorTitle="年齢入力エラー" error="整数を入力してください。_x000a_0歳児の場合は便宜上1歳としてください。" sqref="C32:C36" xr:uid="{F6716D35-E6A2-4539-B578-736980CD21DC}">
      <formula1>1</formula1>
      <formula2>150</formula2>
    </dataValidation>
    <dataValidation type="whole" imeMode="off" allowBlank="1" showInputMessage="1" showErrorMessage="1" errorTitle="収入　入力エラー" error="整数で入力してください。" sqref="D32:F36" xr:uid="{03E8929C-6DCA-465F-B0FE-6794619ED8D2}">
      <formula1>0</formula1>
      <formula2>10000000000000</formula2>
    </dataValidation>
  </dataValidations>
  <printOptions horizontalCentered="1" verticalCentered="1"/>
  <pageMargins left="0.70866141732283472" right="0.70866141732283472" top="0.74803149606299213" bottom="0.74803149606299213" header="0.31496062992125984" footer="0.31496062992125984"/>
  <pageSetup paperSize="9" scale="68" orientation="portrait" r:id="rId1"/>
  <drawing r:id="rId2"/>
  <extLst>
    <ext xmlns:x14="http://schemas.microsoft.com/office/spreadsheetml/2009/9/main" uri="{CCE6A557-97BC-4b89-ADB6-D9C93CAAB3DF}">
      <x14:dataValidations xmlns:xm="http://schemas.microsoft.com/office/excel/2006/main" count="1">
        <x14:dataValidation type="list" showInputMessage="1" showErrorMessage="1" xr:uid="{E3826D58-8561-4429-9330-094DBA7BC3A6}">
          <x14:formula1>
            <xm:f>計算表!$C$5:$C$7</xm:f>
          </x14:formula1>
          <xm:sqref>F29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55B3F2-A344-4A7F-ACF3-5CBD1B8C5A4A}">
  <dimension ref="B1:AF56"/>
  <sheetViews>
    <sheetView workbookViewId="0">
      <selection sqref="A1:J1"/>
    </sheetView>
  </sheetViews>
  <sheetFormatPr defaultRowHeight="18.75" x14ac:dyDescent="0.4"/>
  <cols>
    <col min="1" max="1" width="4.25" customWidth="1"/>
    <col min="2" max="19" width="11" style="105" customWidth="1"/>
    <col min="20" max="32" width="9" style="1"/>
  </cols>
  <sheetData>
    <row r="1" spans="2:10" x14ac:dyDescent="0.4">
      <c r="B1" s="105" t="s">
        <v>94</v>
      </c>
    </row>
    <row r="2" spans="2:10" x14ac:dyDescent="0.4">
      <c r="B2" s="105" t="s">
        <v>95</v>
      </c>
      <c r="H2" s="105" t="s">
        <v>151</v>
      </c>
    </row>
    <row r="3" spans="2:10" x14ac:dyDescent="0.4">
      <c r="H3" s="108" t="s">
        <v>81</v>
      </c>
      <c r="I3" s="109" t="s">
        <v>83</v>
      </c>
      <c r="J3" s="110">
        <v>7.0000000000000007E-2</v>
      </c>
    </row>
    <row r="4" spans="2:10" x14ac:dyDescent="0.4">
      <c r="B4" s="184" t="s">
        <v>99</v>
      </c>
      <c r="C4" s="184" t="s">
        <v>153</v>
      </c>
      <c r="H4" s="111"/>
      <c r="I4" s="109" t="s">
        <v>86</v>
      </c>
      <c r="J4" s="112">
        <v>25600</v>
      </c>
    </row>
    <row r="5" spans="2:10" x14ac:dyDescent="0.4">
      <c r="B5" s="109">
        <v>1</v>
      </c>
      <c r="C5" s="113" t="s">
        <v>131</v>
      </c>
      <c r="H5" s="111"/>
      <c r="I5" s="109" t="s">
        <v>87</v>
      </c>
      <c r="J5" s="112">
        <v>16800</v>
      </c>
    </row>
    <row r="6" spans="2:10" x14ac:dyDescent="0.4">
      <c r="B6" s="109">
        <v>2</v>
      </c>
      <c r="C6" s="109" t="s">
        <v>124</v>
      </c>
      <c r="H6" s="114"/>
      <c r="I6" s="109" t="s">
        <v>88</v>
      </c>
      <c r="J6" s="112">
        <v>650000</v>
      </c>
    </row>
    <row r="7" spans="2:10" x14ac:dyDescent="0.4">
      <c r="B7" s="109">
        <v>3</v>
      </c>
      <c r="C7" s="109" t="s">
        <v>125</v>
      </c>
      <c r="H7" s="108" t="s">
        <v>84</v>
      </c>
      <c r="I7" s="109" t="s">
        <v>82</v>
      </c>
      <c r="J7" s="110">
        <v>2.6800000000000001E-2</v>
      </c>
    </row>
    <row r="8" spans="2:10" x14ac:dyDescent="0.4">
      <c r="H8" s="111"/>
      <c r="I8" s="109" t="s">
        <v>86</v>
      </c>
      <c r="J8" s="112">
        <v>12700</v>
      </c>
    </row>
    <row r="9" spans="2:10" x14ac:dyDescent="0.4">
      <c r="B9" s="183" t="s">
        <v>150</v>
      </c>
      <c r="C9" s="131" t="s">
        <v>139</v>
      </c>
      <c r="D9" s="131"/>
      <c r="E9" s="131"/>
      <c r="F9" s="132"/>
      <c r="H9" s="114"/>
      <c r="I9" s="109" t="s">
        <v>88</v>
      </c>
      <c r="J9" s="112">
        <v>220000</v>
      </c>
    </row>
    <row r="10" spans="2:10" x14ac:dyDescent="0.4">
      <c r="B10" s="109">
        <v>1</v>
      </c>
      <c r="C10" s="126" t="s">
        <v>135</v>
      </c>
      <c r="D10" s="126"/>
      <c r="E10" s="126"/>
      <c r="F10" s="138"/>
      <c r="H10" s="108" t="s">
        <v>85</v>
      </c>
      <c r="I10" s="109" t="s">
        <v>82</v>
      </c>
      <c r="J10" s="110">
        <v>2.2700000000000001E-2</v>
      </c>
    </row>
    <row r="11" spans="2:10" x14ac:dyDescent="0.4">
      <c r="B11" s="111">
        <v>2</v>
      </c>
      <c r="C11" s="105" t="s">
        <v>134</v>
      </c>
      <c r="F11" s="142"/>
      <c r="H11" s="111"/>
      <c r="I11" s="109" t="s">
        <v>86</v>
      </c>
      <c r="J11" s="112">
        <v>14200</v>
      </c>
    </row>
    <row r="12" spans="2:10" x14ac:dyDescent="0.4">
      <c r="B12" s="109">
        <v>3</v>
      </c>
      <c r="C12" s="126" t="s">
        <v>138</v>
      </c>
      <c r="D12" s="126"/>
      <c r="E12" s="126"/>
      <c r="F12" s="138"/>
      <c r="H12" s="114"/>
      <c r="I12" s="109" t="s">
        <v>88</v>
      </c>
      <c r="J12" s="112">
        <v>170000</v>
      </c>
    </row>
    <row r="13" spans="2:10" x14ac:dyDescent="0.4">
      <c r="B13" s="114">
        <v>0</v>
      </c>
      <c r="C13" s="143" t="s">
        <v>136</v>
      </c>
      <c r="D13" s="143"/>
      <c r="E13" s="143"/>
      <c r="F13" s="144"/>
      <c r="H13" s="108" t="s">
        <v>133</v>
      </c>
      <c r="I13" s="157" t="s">
        <v>59</v>
      </c>
      <c r="J13" s="112">
        <v>295000</v>
      </c>
    </row>
    <row r="14" spans="2:10" x14ac:dyDescent="0.4">
      <c r="H14" s="114"/>
      <c r="I14" s="157" t="s">
        <v>58</v>
      </c>
      <c r="J14" s="112">
        <v>545000</v>
      </c>
    </row>
    <row r="16" spans="2:10" ht="19.5" thickBot="1" x14ac:dyDescent="0.45">
      <c r="B16" s="105" t="s">
        <v>152</v>
      </c>
      <c r="C16" s="1"/>
    </row>
    <row r="17" spans="2:32" ht="19.5" thickBot="1" x14ac:dyDescent="0.45">
      <c r="C17" s="1"/>
      <c r="D17" s="116"/>
      <c r="G17" s="185" t="s">
        <v>57</v>
      </c>
      <c r="H17" s="186"/>
      <c r="I17" s="186"/>
      <c r="J17" s="186"/>
      <c r="K17" s="187"/>
    </row>
    <row r="18" spans="2:32" ht="27" x14ac:dyDescent="0.4">
      <c r="B18" s="91" t="s">
        <v>0</v>
      </c>
      <c r="C18" s="192" t="s">
        <v>137</v>
      </c>
      <c r="D18" s="87" t="s">
        <v>100</v>
      </c>
      <c r="E18" s="87" t="s">
        <v>10</v>
      </c>
      <c r="F18" s="88" t="s">
        <v>2</v>
      </c>
      <c r="G18" s="86" t="s">
        <v>22</v>
      </c>
      <c r="H18" s="87" t="s">
        <v>90</v>
      </c>
      <c r="I18" s="87" t="s">
        <v>91</v>
      </c>
      <c r="J18" s="87" t="s">
        <v>92</v>
      </c>
      <c r="K18" s="88" t="s">
        <v>57</v>
      </c>
    </row>
    <row r="19" spans="2:32" x14ac:dyDescent="0.4">
      <c r="B19" s="89" t="s">
        <v>98</v>
      </c>
      <c r="C19" s="193" t="b">
        <f>AND(C20,C21,C22,C23)</f>
        <v>1</v>
      </c>
      <c r="D19" s="112">
        <f>IF(IF(AND(試算表!G32&lt;&gt;0,試算表!H32&lt;&gt;0),IF(試算表!G32&gt;試算表!H32,試算表!H32,試算表!G32),0)*-1&lt;=-100000,-100000,IF(AND(試算表!G32&lt;&gt;0,試算表!H32&lt;&gt;0),IF(試算表!G32&gt;試算表!H32,試算表!H32,試算表!G32),0)*-1)</f>
        <v>0</v>
      </c>
      <c r="E19" s="112">
        <f>IF(試算表!F29="加入しない",4,IF(OR(試算表!C32=0,試算表!F29=0),0,IF(試算表!C32&lt;6,3,IF(AND(試算表!C32&gt;=40,試算表!C32&lt;=64),2,1))))</f>
        <v>0</v>
      </c>
      <c r="F19" s="117" t="str">
        <f>IF(試算表!C32="","",IF(試算表!J32&lt;=430000,0,試算表!J32-430000))</f>
        <v/>
      </c>
      <c r="G19" s="118">
        <f>IF(AND(試算表!C32&lt;&gt;"",OR(試算表!D32&gt;550000,試算表!F32&gt;0,試算表!E32&gt;IF(試算表!C32&gt;=65,1250000,550000))),1,0)</f>
        <v>0</v>
      </c>
      <c r="H19" s="112">
        <f>試算表!G32+D19</f>
        <v>0</v>
      </c>
      <c r="I19" s="112">
        <f>IF(試算表!H32=0,0,IF(試算表!C32&gt;=65,IF(試算表!H32&lt;150000,-試算表!H32,-150000))+試算表!H32)</f>
        <v>0</v>
      </c>
      <c r="J19" s="112">
        <f>試算表!I32</f>
        <v>0</v>
      </c>
      <c r="K19" s="117">
        <f>SUM(H19:J19)</f>
        <v>0</v>
      </c>
    </row>
    <row r="20" spans="2:32" x14ac:dyDescent="0.4">
      <c r="B20" s="89" t="s">
        <v>106</v>
      </c>
      <c r="C20" s="193" t="b">
        <f>AND(試算表!C33=0,SUM(試算表!D33:F33)&lt;&gt;0)=FALSE</f>
        <v>1</v>
      </c>
      <c r="D20" s="112">
        <f>IF(IF(AND(試算表!G33&lt;&gt;0,試算表!H33&lt;&gt;0),IF(試算表!G33&gt;試算表!H33,試算表!H33,試算表!G33),0)*-1&lt;=-100000,-100000,IF(AND(試算表!G33&lt;&gt;0,試算表!H33&lt;&gt;0),IF(試算表!G33&gt;試算表!H33,試算表!H33,試算表!G33),0)*-1)</f>
        <v>0</v>
      </c>
      <c r="E20" s="112">
        <f>IF(試算表!C33=0,0,IF(試算表!C33&lt;6,3,IF(AND(試算表!C33&gt;=40,試算表!C33&lt;=64),2,1)))</f>
        <v>0</v>
      </c>
      <c r="F20" s="117" t="str">
        <f>IF(試算表!C33="","",IF(試算表!J33&lt;=430000,0,試算表!J33-430000))</f>
        <v/>
      </c>
      <c r="G20" s="118">
        <f>IF(AND(試算表!C33&lt;&gt;"",OR(試算表!D33&gt;550000,試算表!F33&gt;0,試算表!E33&gt;IF(試算表!C33&gt;=65,1250000,550000))),1,0)</f>
        <v>0</v>
      </c>
      <c r="H20" s="112">
        <f>試算表!G33+D20</f>
        <v>0</v>
      </c>
      <c r="I20" s="112">
        <f>IF(試算表!H33=0,0,IF(試算表!C33&gt;=65,IF(試算表!H33&lt;150000,-試算表!H33,-150000))+試算表!H33)</f>
        <v>0</v>
      </c>
      <c r="J20" s="112">
        <f>試算表!I33</f>
        <v>0</v>
      </c>
      <c r="K20" s="117">
        <f>SUM(H20:J20)</f>
        <v>0</v>
      </c>
    </row>
    <row r="21" spans="2:32" x14ac:dyDescent="0.4">
      <c r="B21" s="89" t="s">
        <v>107</v>
      </c>
      <c r="C21" s="193" t="b">
        <f>AND(試算表!C34=0,SUM(試算表!D34:F34)&lt;&gt;0)=FALSE</f>
        <v>1</v>
      </c>
      <c r="D21" s="112">
        <f>IF(IF(AND(試算表!G34&lt;&gt;0,試算表!H34&lt;&gt;0),IF(試算表!G34&gt;試算表!H34,試算表!H34,試算表!G34),0)*-1&lt;=-100000,-100000,IF(AND(試算表!G34&lt;&gt;0,試算表!H34&lt;&gt;0),IF(試算表!G34&gt;試算表!H34,試算表!H34,試算表!G34),0)*-1)</f>
        <v>0</v>
      </c>
      <c r="E21" s="112">
        <f>IF(試算表!C34=0,0,IF(試算表!C34&lt;6,3,IF(AND(試算表!C34&gt;=40,試算表!C34&lt;=64),2,1)))</f>
        <v>0</v>
      </c>
      <c r="F21" s="117" t="str">
        <f>IF(試算表!C34="","",IF(試算表!J34&lt;=430000,0,試算表!J34-430000))</f>
        <v/>
      </c>
      <c r="G21" s="118">
        <f>IF(AND(試算表!C34&lt;&gt;"",OR(試算表!D34&gt;550000,試算表!F34&gt;0,試算表!E34&gt;IF(試算表!C34&gt;=65,1250000,550000))),1,0)</f>
        <v>0</v>
      </c>
      <c r="H21" s="112">
        <f>試算表!G34+D21</f>
        <v>0</v>
      </c>
      <c r="I21" s="112">
        <f>IF(試算表!H34=0,0,IF(試算表!C34&gt;=65,IF(試算表!H34&lt;150000,-試算表!H34,-150000))+試算表!H34)</f>
        <v>0</v>
      </c>
      <c r="J21" s="112">
        <f>試算表!I34</f>
        <v>0</v>
      </c>
      <c r="K21" s="117">
        <f>SUM(H21:J21)</f>
        <v>0</v>
      </c>
    </row>
    <row r="22" spans="2:32" x14ac:dyDescent="0.4">
      <c r="B22" s="89" t="s">
        <v>108</v>
      </c>
      <c r="C22" s="193" t="b">
        <f>AND(試算表!C35=0,SUM(試算表!D35:F35)&lt;&gt;0)=FALSE</f>
        <v>1</v>
      </c>
      <c r="D22" s="112">
        <f>IF(IF(AND(試算表!G35&lt;&gt;0,試算表!H35&lt;&gt;0),IF(試算表!G35&gt;試算表!H35,試算表!H35,試算表!G35),0)*-1&lt;=-100000,-100000,IF(AND(試算表!G35&lt;&gt;0,試算表!H35&lt;&gt;0),IF(試算表!G35&gt;試算表!H35,試算表!H35,試算表!G35),0)*-1)</f>
        <v>0</v>
      </c>
      <c r="E22" s="112">
        <f>IF(試算表!C35=0,0,IF(試算表!C35&lt;6,3,IF(AND(試算表!C35&gt;=40,試算表!C35&lt;=64),2,1)))</f>
        <v>0</v>
      </c>
      <c r="F22" s="117" t="str">
        <f>IF(試算表!C35="","",IF(試算表!J35&lt;=430000,0,試算表!J35-430000))</f>
        <v/>
      </c>
      <c r="G22" s="118">
        <f>IF(AND(試算表!C35&lt;&gt;"",OR(試算表!D35&gt;550000,試算表!F35&gt;0,試算表!E35&gt;IF(試算表!C35&gt;=65,1250000,550000))),1,0)</f>
        <v>0</v>
      </c>
      <c r="H22" s="112">
        <f>試算表!G35+D22</f>
        <v>0</v>
      </c>
      <c r="I22" s="112">
        <f>IF(試算表!H35=0,0,IF(試算表!C35&gt;=65,IF(試算表!H35&lt;150000,-試算表!H35,-150000))+試算表!H35)</f>
        <v>0</v>
      </c>
      <c r="J22" s="112">
        <f>試算表!I35</f>
        <v>0</v>
      </c>
      <c r="K22" s="117">
        <f>SUM(H22:J22)</f>
        <v>0</v>
      </c>
    </row>
    <row r="23" spans="2:32" ht="19.5" thickBot="1" x14ac:dyDescent="0.45">
      <c r="B23" s="90" t="s">
        <v>109</v>
      </c>
      <c r="C23" s="194" t="b">
        <f>AND(試算表!C36=0,SUM(試算表!D36:F36)&lt;&gt;0)=FALSE</f>
        <v>1</v>
      </c>
      <c r="D23" s="121">
        <f>IF(IF(AND(試算表!G36&lt;&gt;0,試算表!H36&lt;&gt;0),IF(試算表!G36&gt;試算表!H36,試算表!H36,試算表!G36),0)*-1&lt;=-100000,-100000,IF(AND(試算表!G36&lt;&gt;0,試算表!H36&lt;&gt;0),IF(試算表!G36&gt;試算表!H36,試算表!H36,試算表!G36),0)*-1)</f>
        <v>0</v>
      </c>
      <c r="E23" s="121">
        <f>IF(試算表!C36=0,0,IF(試算表!C36&lt;6,3,IF(AND(試算表!C36&gt;=40,試算表!C36&lt;=64),2,1)))</f>
        <v>0</v>
      </c>
      <c r="F23" s="119" t="str">
        <f>IF(試算表!C36="","",IF(試算表!J36&lt;=430000,0,試算表!J36-430000))</f>
        <v/>
      </c>
      <c r="G23" s="120">
        <f>IF(AND(試算表!C36&lt;&gt;"",OR(試算表!D36&gt;550000,試算表!F36&gt;0,試算表!E36&gt;IF(試算表!C36&gt;=65,1250000,550000))),1,0)</f>
        <v>0</v>
      </c>
      <c r="H23" s="121">
        <f>試算表!G36+D23</f>
        <v>0</v>
      </c>
      <c r="I23" s="121">
        <f>IF(試算表!H36=0,0,IF(試算表!C36&gt;=65,IF(試算表!H36&lt;150000,-試算表!H36,-150000))+試算表!H36)</f>
        <v>0</v>
      </c>
      <c r="J23" s="121">
        <f>試算表!I36</f>
        <v>0</v>
      </c>
      <c r="K23" s="119">
        <f>SUM(H23:J23)</f>
        <v>0</v>
      </c>
    </row>
    <row r="24" spans="2:32" x14ac:dyDescent="0.4">
      <c r="C24" s="1"/>
      <c r="D24" s="105">
        <f>COUNTA(試算表!C32:C36)+IF(AND(試算表!F29=C7,試算表!C32&lt;&gt;""),-1,0)</f>
        <v>0</v>
      </c>
      <c r="F24" s="106" t="s">
        <v>101</v>
      </c>
      <c r="G24" s="114">
        <f>SUM(G19:G23)</f>
        <v>0</v>
      </c>
      <c r="J24" s="106" t="s">
        <v>102</v>
      </c>
      <c r="K24" s="188">
        <f>IF(E36&lt;=D28,E28,IF(E36&lt;=D29,E29,IF(E36&lt;=D30,E30,E31)))</f>
        <v>0.3</v>
      </c>
    </row>
    <row r="25" spans="2:32" x14ac:dyDescent="0.4">
      <c r="C25" s="1"/>
      <c r="D25" s="105" t="s">
        <v>110</v>
      </c>
    </row>
    <row r="26" spans="2:32" x14ac:dyDescent="0.4">
      <c r="T26" s="105"/>
    </row>
    <row r="27" spans="2:32" x14ac:dyDescent="0.4">
      <c r="B27" s="109" t="s">
        <v>102</v>
      </c>
      <c r="C27" s="109" t="s">
        <v>103</v>
      </c>
      <c r="D27" s="109" t="s">
        <v>104</v>
      </c>
      <c r="E27" s="129" t="s">
        <v>102</v>
      </c>
      <c r="F27" s="130" t="s">
        <v>105</v>
      </c>
      <c r="G27" s="131"/>
      <c r="H27" s="131"/>
      <c r="I27" s="131"/>
      <c r="J27" s="131"/>
      <c r="K27" s="131"/>
      <c r="L27" s="131"/>
      <c r="M27" s="132"/>
      <c r="T27" s="105"/>
    </row>
    <row r="28" spans="2:32" x14ac:dyDescent="0.4">
      <c r="B28" s="156">
        <v>0.3</v>
      </c>
      <c r="C28" s="157" t="s">
        <v>60</v>
      </c>
      <c r="D28" s="128">
        <f>430000+IF($G$24=0,0,($G$24-1))*100000</f>
        <v>430000</v>
      </c>
      <c r="E28" s="137">
        <v>0.3</v>
      </c>
      <c r="F28" s="129" t="s">
        <v>62</v>
      </c>
      <c r="G28" s="126"/>
      <c r="H28" s="126"/>
      <c r="I28" s="126"/>
      <c r="J28" s="126"/>
      <c r="K28" s="126"/>
      <c r="L28" s="126"/>
      <c r="M28" s="138"/>
      <c r="N28" s="116"/>
      <c r="O28" s="116"/>
      <c r="P28" s="116"/>
      <c r="Q28" s="116"/>
      <c r="R28" s="116"/>
      <c r="S28" s="116"/>
      <c r="T28" s="116"/>
      <c r="U28" s="4"/>
      <c r="V28" s="4"/>
      <c r="W28" s="4"/>
      <c r="X28" s="4"/>
      <c r="Y28" s="4"/>
      <c r="Z28" s="4"/>
      <c r="AA28" s="4"/>
      <c r="AB28" s="4"/>
      <c r="AC28" s="4"/>
      <c r="AD28" s="4"/>
      <c r="AE28" s="4"/>
      <c r="AF28" s="4"/>
    </row>
    <row r="29" spans="2:32" x14ac:dyDescent="0.4">
      <c r="B29" s="156">
        <v>0.5</v>
      </c>
      <c r="C29" s="157" t="s">
        <v>59</v>
      </c>
      <c r="D29" s="128">
        <f>430000+IF($G$24=0,0,($G$24-1))*100000+$D$24*J13</f>
        <v>430000</v>
      </c>
      <c r="E29" s="137">
        <v>0.5</v>
      </c>
      <c r="F29" s="134" t="str">
        <f>"軽減判定額が43万円＋（給与所得者等の数-1）×10万円＋（"&amp;J13/10000&amp;"万円×加入者等）　以下"</f>
        <v>軽減判定額が43万円＋（給与所得者等の数-1）×10万円＋（29.5万円×加入者等）　以下</v>
      </c>
      <c r="M29" s="142"/>
      <c r="T29" s="105"/>
    </row>
    <row r="30" spans="2:32" x14ac:dyDescent="0.4">
      <c r="B30" s="156">
        <v>0.8</v>
      </c>
      <c r="C30" s="157" t="s">
        <v>58</v>
      </c>
      <c r="D30" s="128">
        <f>430000+IF($G$24=0,0,($G$24-1))*100000+$D$24*J14</f>
        <v>430000</v>
      </c>
      <c r="E30" s="137">
        <v>0.8</v>
      </c>
      <c r="F30" s="129" t="str">
        <f>"軽減判定額が43万円＋（給与所得者等の数-1）×10万円＋（"&amp;J14/10000&amp;"万円×加入者等）　以下"</f>
        <v>軽減判定額が43万円＋（給与所得者等の数-1）×10万円＋（54.5万円×加入者等）　以下</v>
      </c>
      <c r="G30" s="126"/>
      <c r="H30" s="126"/>
      <c r="I30" s="126"/>
      <c r="J30" s="126"/>
      <c r="K30" s="126"/>
      <c r="L30" s="126"/>
      <c r="M30" s="138"/>
      <c r="T30" s="105"/>
    </row>
    <row r="31" spans="2:32" x14ac:dyDescent="0.4">
      <c r="B31" s="156">
        <v>1</v>
      </c>
      <c r="C31" s="157" t="s">
        <v>61</v>
      </c>
      <c r="D31" s="112"/>
      <c r="E31" s="137">
        <v>1</v>
      </c>
      <c r="F31" s="129" t="str">
        <f>"軽減判定額が43万円＋（給与所得者等の数-1）×10万円＋（"&amp;J14/10000&amp;"万円×加入者等）　超"</f>
        <v>軽減判定額が43万円＋（給与所得者等の数-1）×10万円＋（54.5万円×加入者等）　超</v>
      </c>
      <c r="G31" s="143"/>
      <c r="H31" s="143"/>
      <c r="I31" s="143"/>
      <c r="J31" s="143"/>
      <c r="K31" s="143"/>
      <c r="L31" s="143"/>
      <c r="M31" s="144"/>
      <c r="T31" s="105"/>
    </row>
    <row r="32" spans="2:32" x14ac:dyDescent="0.4">
      <c r="C32" s="107" t="s">
        <v>73</v>
      </c>
      <c r="T32" s="105"/>
    </row>
    <row r="33" spans="2:21" x14ac:dyDescent="0.4">
      <c r="C33" s="105" t="s">
        <v>93</v>
      </c>
      <c r="T33" s="105"/>
    </row>
    <row r="34" spans="2:21" x14ac:dyDescent="0.4">
      <c r="M34" s="115"/>
      <c r="N34" s="122"/>
      <c r="O34" s="122"/>
      <c r="T34" s="105"/>
    </row>
    <row r="35" spans="2:21" ht="27" x14ac:dyDescent="0.4">
      <c r="D35" s="123" t="s">
        <v>75</v>
      </c>
      <c r="E35" s="108" t="s">
        <v>57</v>
      </c>
      <c r="F35" s="124" t="s">
        <v>2</v>
      </c>
      <c r="S35" s="122"/>
    </row>
    <row r="36" spans="2:21" x14ac:dyDescent="0.4">
      <c r="B36" s="146" t="s">
        <v>76</v>
      </c>
      <c r="C36" s="132"/>
      <c r="D36" s="127">
        <f>SUM(D37:D39)</f>
        <v>0</v>
      </c>
      <c r="E36" s="128">
        <f>SUM(E37:E40)</f>
        <v>0</v>
      </c>
      <c r="F36" s="128">
        <f>SUM(F37:F39)</f>
        <v>0</v>
      </c>
      <c r="G36" s="105" t="s">
        <v>14</v>
      </c>
      <c r="S36" s="122"/>
    </row>
    <row r="37" spans="2:21" x14ac:dyDescent="0.4">
      <c r="B37" s="146" t="s">
        <v>77</v>
      </c>
      <c r="C37" s="182" t="s">
        <v>11</v>
      </c>
      <c r="D37" s="134">
        <f>COUNTIF($E$19:$E$23,2)</f>
        <v>0</v>
      </c>
      <c r="E37" s="135">
        <f>SUMIFS($K$19:$K$23,$E$19:$E$23,2,$G$19:$G$23,1)</f>
        <v>0</v>
      </c>
      <c r="F37" s="136">
        <f>SUMIF($E$19:$E$23,2,$F$19:$F$23)</f>
        <v>0</v>
      </c>
      <c r="G37" s="105" t="s">
        <v>15</v>
      </c>
      <c r="S37" s="122"/>
    </row>
    <row r="38" spans="2:21" x14ac:dyDescent="0.4">
      <c r="B38" s="139" t="s">
        <v>77</v>
      </c>
      <c r="C38" s="181" t="s">
        <v>12</v>
      </c>
      <c r="D38" s="140">
        <f>COUNTIF($E$19:$E$23,3)</f>
        <v>0</v>
      </c>
      <c r="E38" s="114">
        <f>SUMIFS($K$19:$K$23,$E$19:$E$23,3,$G$19:$G$23,1)</f>
        <v>0</v>
      </c>
      <c r="F38" s="141">
        <f>SUMIF($E$19:$E$23,3,$F$19:$F$23)</f>
        <v>0</v>
      </c>
      <c r="S38" s="122"/>
    </row>
    <row r="39" spans="2:21" x14ac:dyDescent="0.4">
      <c r="B39" s="125" t="s">
        <v>77</v>
      </c>
      <c r="C39" s="180" t="s">
        <v>13</v>
      </c>
      <c r="D39" s="109">
        <f>COUNTIF($E$19:$E$23,1)</f>
        <v>0</v>
      </c>
      <c r="E39" s="109">
        <f>SUMIFS($K$19:$K$23,$E$19:$E$23,1,$G$19:$G$23,1)</f>
        <v>0</v>
      </c>
      <c r="F39" s="112">
        <f>SUMIF($E$19:$E$23,1,$F$19:$F$23)</f>
        <v>0</v>
      </c>
      <c r="G39" s="106"/>
      <c r="S39" s="122"/>
    </row>
    <row r="40" spans="2:21" x14ac:dyDescent="0.4">
      <c r="B40" s="139" t="s">
        <v>77</v>
      </c>
      <c r="C40" s="181" t="s">
        <v>97</v>
      </c>
      <c r="D40" s="178" t="s">
        <v>132</v>
      </c>
      <c r="E40" s="112">
        <f>SUMIFS($K$19:$K$23,$E$19:$E$23,4,$G$19:$G$23,1)</f>
        <v>0</v>
      </c>
      <c r="F40" s="179" t="s">
        <v>132</v>
      </c>
      <c r="S40" s="122"/>
    </row>
    <row r="41" spans="2:21" x14ac:dyDescent="0.4">
      <c r="H41" s="122"/>
      <c r="Q41" s="145"/>
      <c r="S41" s="122"/>
    </row>
    <row r="42" spans="2:21" x14ac:dyDescent="0.4">
      <c r="B42" s="130"/>
      <c r="C42" s="132"/>
      <c r="D42" s="108" t="s">
        <v>16</v>
      </c>
      <c r="E42" s="132"/>
      <c r="F42" s="130" t="s">
        <v>17</v>
      </c>
      <c r="G42" s="131"/>
      <c r="H42" s="131"/>
      <c r="I42" s="132"/>
      <c r="U42" s="76"/>
    </row>
    <row r="43" spans="2:21" x14ac:dyDescent="0.4">
      <c r="B43" s="146" t="s">
        <v>3</v>
      </c>
      <c r="C43" s="147" t="s">
        <v>6</v>
      </c>
      <c r="D43" s="135">
        <f>INT(F36*J3)</f>
        <v>0</v>
      </c>
      <c r="E43" s="148">
        <f>D43</f>
        <v>0</v>
      </c>
      <c r="F43" s="130" t="str">
        <f>"A*"&amp;J3*100&amp;"%"</f>
        <v>A*7%</v>
      </c>
      <c r="G43" s="131"/>
      <c r="H43" s="131"/>
      <c r="I43" s="132"/>
      <c r="U43" s="76"/>
    </row>
    <row r="44" spans="2:21" x14ac:dyDescent="0.4">
      <c r="B44" s="134"/>
      <c r="C44" s="142" t="s">
        <v>7</v>
      </c>
      <c r="D44" s="136">
        <f>(D39+D37)*J4+D38*J4/2</f>
        <v>0</v>
      </c>
      <c r="E44" s="149">
        <f>D44*$K$24</f>
        <v>0</v>
      </c>
      <c r="F44" s="134" t="str">
        <f>"1人　"&amp;J4&amp;"円、6歳未満の人の場合"&amp;J4/2&amp;"円"</f>
        <v>1人　25600円、6歳未満の人の場合12800円</v>
      </c>
      <c r="I44" s="142"/>
      <c r="T44" s="76"/>
      <c r="U44" s="76"/>
    </row>
    <row r="45" spans="2:21" x14ac:dyDescent="0.4">
      <c r="B45" s="134"/>
      <c r="C45" s="142" t="s">
        <v>8</v>
      </c>
      <c r="D45" s="136">
        <f>IF(D24=0,0,J5)</f>
        <v>0</v>
      </c>
      <c r="E45" s="149">
        <f>D45*$K$24</f>
        <v>0</v>
      </c>
      <c r="F45" s="134" t="str">
        <f>"1世帯につき"&amp;J5&amp;"円"</f>
        <v>1世帯につき16800円</v>
      </c>
      <c r="I45" s="142"/>
      <c r="P45" s="145"/>
      <c r="Q45" s="145"/>
    </row>
    <row r="46" spans="2:21" x14ac:dyDescent="0.4">
      <c r="B46" s="140"/>
      <c r="C46" s="150" t="s">
        <v>19</v>
      </c>
      <c r="D46" s="141">
        <f>IF(SUM(D43:D45)&gt;=J6,J6,INT(SUM(D43:D45)/100)*100)</f>
        <v>0</v>
      </c>
      <c r="E46" s="151">
        <f>IF(SUM(E43:E45)&gt;=J6,J6,INT(SUM(E43:E45)/100)*100)</f>
        <v>0</v>
      </c>
      <c r="F46" s="140" t="str">
        <f>"限度額"&amp;J6&amp;"""円"</f>
        <v>限度額650000"円</v>
      </c>
      <c r="G46" s="143"/>
      <c r="H46" s="143"/>
      <c r="I46" s="144"/>
      <c r="P46" s="145"/>
      <c r="Q46" s="145"/>
    </row>
    <row r="47" spans="2:21" x14ac:dyDescent="0.4">
      <c r="B47" s="146" t="s">
        <v>4</v>
      </c>
      <c r="C47" s="132" t="s">
        <v>6</v>
      </c>
      <c r="D47" s="135">
        <f>INT(F36*J7)</f>
        <v>0</v>
      </c>
      <c r="E47" s="148">
        <f>D47</f>
        <v>0</v>
      </c>
      <c r="F47" s="134" t="str">
        <f>"A*"&amp;J7*100&amp;"%"</f>
        <v>A*2.68%</v>
      </c>
      <c r="I47" s="142"/>
    </row>
    <row r="48" spans="2:21" x14ac:dyDescent="0.4">
      <c r="B48" s="133"/>
      <c r="C48" s="142" t="s">
        <v>7</v>
      </c>
      <c r="D48" s="136">
        <f>(D39+D37)*J8+D38*J8/2</f>
        <v>0</v>
      </c>
      <c r="E48" s="149">
        <f>D48*$K$24</f>
        <v>0</v>
      </c>
      <c r="F48" s="134" t="str">
        <f>"1人　"&amp;J8&amp;"円、6歳未満の人の場合"&amp;J8/2&amp;"円"</f>
        <v>1人　12700円、6歳未満の人の場合6350円</v>
      </c>
      <c r="I48" s="142"/>
    </row>
    <row r="49" spans="2:9" x14ac:dyDescent="0.4">
      <c r="B49" s="140"/>
      <c r="C49" s="150" t="s">
        <v>20</v>
      </c>
      <c r="D49" s="152">
        <f>IF(SUM(D47:D48)&gt;=J9,J9,INT(SUM(D47:D48)/100)*100)</f>
        <v>0</v>
      </c>
      <c r="E49" s="151">
        <f>IF(SUM(E47:E48)&gt;=J9,J9,INT(SUM(E47:E48)/100)*100)</f>
        <v>0</v>
      </c>
      <c r="F49" s="134" t="str">
        <f>"限度額"&amp;J9&amp;"""円"</f>
        <v>限度額220000"円</v>
      </c>
      <c r="I49" s="142"/>
    </row>
    <row r="50" spans="2:9" x14ac:dyDescent="0.4">
      <c r="B50" s="146" t="s">
        <v>5</v>
      </c>
      <c r="C50" s="132" t="s">
        <v>6</v>
      </c>
      <c r="D50" s="135">
        <f>INT(F37*J10)</f>
        <v>0</v>
      </c>
      <c r="E50" s="148">
        <f>D50</f>
        <v>0</v>
      </c>
      <c r="F50" s="130" t="str">
        <f>"B*"&amp;J10*100&amp;"%"</f>
        <v>B*2.27%</v>
      </c>
      <c r="G50" s="131"/>
      <c r="H50" s="131"/>
      <c r="I50" s="132"/>
    </row>
    <row r="51" spans="2:9" x14ac:dyDescent="0.4">
      <c r="B51" s="134"/>
      <c r="C51" s="142" t="s">
        <v>7</v>
      </c>
      <c r="D51" s="136">
        <f>D37*J11</f>
        <v>0</v>
      </c>
      <c r="E51" s="149">
        <f>D51*$K$24</f>
        <v>0</v>
      </c>
      <c r="F51" s="134" t="str">
        <f>"40～64歳の人*"&amp;J11&amp;"円"</f>
        <v>40～64歳の人*14200円</v>
      </c>
      <c r="I51" s="142"/>
    </row>
    <row r="52" spans="2:9" x14ac:dyDescent="0.4">
      <c r="B52" s="140"/>
      <c r="C52" s="150" t="s">
        <v>21</v>
      </c>
      <c r="D52" s="141">
        <f>IF(SUM(D50:D51)&gt;=J12,J12,INT(SUM(D50:D51)/100)*100)</f>
        <v>0</v>
      </c>
      <c r="E52" s="151">
        <f>IF(SUM(E50:E51)&gt;=J12,J12,INT(SUM(E50:E51)/100)*100)</f>
        <v>0</v>
      </c>
      <c r="F52" s="140" t="str">
        <f>"限度額"&amp;J12&amp;"""円"</f>
        <v>限度額170000"円</v>
      </c>
      <c r="G52" s="143"/>
      <c r="H52" s="143"/>
      <c r="I52" s="144"/>
    </row>
    <row r="53" spans="2:9" x14ac:dyDescent="0.4">
      <c r="B53" s="130"/>
      <c r="C53" s="153" t="s">
        <v>9</v>
      </c>
      <c r="D53" s="135">
        <f>D46+D49+D52</f>
        <v>0</v>
      </c>
      <c r="E53" s="108"/>
      <c r="F53" s="134" t="s">
        <v>80</v>
      </c>
      <c r="I53" s="142"/>
    </row>
    <row r="54" spans="2:9" x14ac:dyDescent="0.4">
      <c r="B54" s="140"/>
      <c r="C54" s="150" t="s">
        <v>78</v>
      </c>
      <c r="D54" s="141"/>
      <c r="E54" s="158" t="str">
        <f>VLOOKUP(K24,$B$28:$C$31,2,FALSE)</f>
        <v>７割軽減</v>
      </c>
      <c r="F54" s="134" t="s">
        <v>96</v>
      </c>
      <c r="I54" s="142"/>
    </row>
    <row r="55" spans="2:9" x14ac:dyDescent="0.4">
      <c r="B55" s="134"/>
      <c r="C55" s="154" t="s">
        <v>18</v>
      </c>
      <c r="D55" s="136"/>
      <c r="E55" s="149">
        <f>E46+E49+E52</f>
        <v>0</v>
      </c>
      <c r="F55" s="130" t="s">
        <v>79</v>
      </c>
      <c r="G55" s="131"/>
      <c r="H55" s="131"/>
      <c r="I55" s="132"/>
    </row>
    <row r="56" spans="2:9" x14ac:dyDescent="0.4">
      <c r="B56" s="140"/>
      <c r="C56" s="150" t="s">
        <v>74</v>
      </c>
      <c r="D56" s="152"/>
      <c r="E56" s="155">
        <f>INT(E55/12)</f>
        <v>0</v>
      </c>
      <c r="F56" s="140" t="s">
        <v>89</v>
      </c>
      <c r="G56" s="143"/>
      <c r="H56" s="143"/>
      <c r="I56" s="144"/>
    </row>
  </sheetData>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15"/>
  <sheetViews>
    <sheetView workbookViewId="0">
      <selection sqref="A1:J1"/>
    </sheetView>
  </sheetViews>
  <sheetFormatPr defaultRowHeight="18.75" x14ac:dyDescent="0.4"/>
  <cols>
    <col min="1" max="1" width="12.375" bestFit="1" customWidth="1"/>
    <col min="2" max="2" width="13.875" bestFit="1" customWidth="1"/>
    <col min="3" max="3" width="19.5" bestFit="1" customWidth="1"/>
    <col min="4" max="4" width="4.875" bestFit="1" customWidth="1"/>
    <col min="5" max="5" width="13.375" bestFit="1" customWidth="1"/>
    <col min="6" max="10" width="14.125" customWidth="1"/>
    <col min="11" max="11" width="12.5" customWidth="1"/>
  </cols>
  <sheetData>
    <row r="1" spans="1:11" ht="19.5" thickBot="1" x14ac:dyDescent="0.45"/>
    <row r="2" spans="1:11" ht="19.5" thickBot="1" x14ac:dyDescent="0.45">
      <c r="F2" s="49">
        <v>1</v>
      </c>
      <c r="G2" s="50">
        <v>2</v>
      </c>
      <c r="H2" s="50">
        <v>3</v>
      </c>
      <c r="I2" s="50">
        <v>4</v>
      </c>
      <c r="J2" s="51">
        <v>5</v>
      </c>
      <c r="K2" s="16" t="s">
        <v>0</v>
      </c>
    </row>
    <row r="3" spans="1:11" x14ac:dyDescent="0.4">
      <c r="A3" s="64" t="s">
        <v>66</v>
      </c>
      <c r="B3" s="65" t="s">
        <v>65</v>
      </c>
      <c r="C3" s="66" t="s">
        <v>64</v>
      </c>
      <c r="F3" s="52">
        <f>試算表!D32</f>
        <v>0</v>
      </c>
      <c r="G3" s="8">
        <f>試算表!D33</f>
        <v>0</v>
      </c>
      <c r="H3" s="8">
        <f>試算表!D34</f>
        <v>0</v>
      </c>
      <c r="I3" s="8">
        <f>試算表!D35</f>
        <v>0</v>
      </c>
      <c r="J3" s="53">
        <f>試算表!D36</f>
        <v>0</v>
      </c>
      <c r="K3" s="16" t="s">
        <v>23</v>
      </c>
    </row>
    <row r="4" spans="1:11" x14ac:dyDescent="0.4">
      <c r="A4" s="54">
        <v>0</v>
      </c>
      <c r="B4" s="7">
        <v>550999</v>
      </c>
      <c r="C4" s="67">
        <v>0</v>
      </c>
      <c r="D4" s="62">
        <v>0</v>
      </c>
      <c r="E4" s="48">
        <v>0</v>
      </c>
      <c r="F4" s="54">
        <f>IF(AND(F$3&gt;=$A4,F$3&lt;=$B4),F$3*$D4+$E4,0)</f>
        <v>0</v>
      </c>
      <c r="G4" s="7">
        <f>IF(AND(G$3&gt;=$A4,G$3&lt;=$B4),G$3*$D4+$E4,0)</f>
        <v>0</v>
      </c>
      <c r="H4" s="7">
        <f>IF(AND(H$3&gt;=$A4,H$3&lt;=$B4),H$3*$D4+$E4,0)</f>
        <v>0</v>
      </c>
      <c r="I4" s="7">
        <f>IF(AND(I$3&gt;=$A4,I$3&lt;=$B4),I$3*$D4+$E4,0)</f>
        <v>0</v>
      </c>
      <c r="J4" s="55">
        <f>IF(AND(J$3&gt;=$A4,J$3&lt;=$B4),J$3*$D4+$E4,0)</f>
        <v>0</v>
      </c>
    </row>
    <row r="5" spans="1:11" x14ac:dyDescent="0.4">
      <c r="A5" s="54">
        <v>551000</v>
      </c>
      <c r="B5" s="7">
        <v>1618999</v>
      </c>
      <c r="C5" s="67">
        <v>-550000</v>
      </c>
      <c r="D5" s="63">
        <v>1</v>
      </c>
      <c r="E5" s="48">
        <v>-550000</v>
      </c>
      <c r="F5" s="54">
        <f t="shared" ref="F5:J13" si="0">IF(AND(F$3&gt;=$A5,F$3&lt;=$B5),F$3*$D5+$E5,0)</f>
        <v>0</v>
      </c>
      <c r="G5" s="7">
        <f t="shared" si="0"/>
        <v>0</v>
      </c>
      <c r="H5" s="7">
        <f t="shared" si="0"/>
        <v>0</v>
      </c>
      <c r="I5" s="7">
        <f t="shared" si="0"/>
        <v>0</v>
      </c>
      <c r="J5" s="55">
        <f t="shared" si="0"/>
        <v>0</v>
      </c>
    </row>
    <row r="6" spans="1:11" x14ac:dyDescent="0.4">
      <c r="A6" s="54">
        <v>1619000</v>
      </c>
      <c r="B6" s="7">
        <v>1619999</v>
      </c>
      <c r="C6" s="67" t="s">
        <v>28</v>
      </c>
      <c r="D6" s="63">
        <v>0.6</v>
      </c>
      <c r="E6" s="48">
        <v>97600</v>
      </c>
      <c r="F6" s="54">
        <f>IF(AND(F$3&gt;=$A6,F$3&lt;=$B6),F$3*$D6+$E6,0)</f>
        <v>0</v>
      </c>
      <c r="G6" s="7">
        <f t="shared" si="0"/>
        <v>0</v>
      </c>
      <c r="H6" s="7">
        <f t="shared" si="0"/>
        <v>0</v>
      </c>
      <c r="I6" s="7">
        <f t="shared" si="0"/>
        <v>0</v>
      </c>
      <c r="J6" s="55">
        <f t="shared" si="0"/>
        <v>0</v>
      </c>
    </row>
    <row r="7" spans="1:11" x14ac:dyDescent="0.4">
      <c r="A7" s="54">
        <v>1620000</v>
      </c>
      <c r="B7" s="7">
        <v>1621999</v>
      </c>
      <c r="C7" s="67" t="s">
        <v>29</v>
      </c>
      <c r="D7" s="63">
        <v>0.6</v>
      </c>
      <c r="E7" s="48">
        <v>98000</v>
      </c>
      <c r="F7" s="54">
        <f t="shared" si="0"/>
        <v>0</v>
      </c>
      <c r="G7" s="7">
        <f t="shared" si="0"/>
        <v>0</v>
      </c>
      <c r="H7" s="7">
        <f t="shared" si="0"/>
        <v>0</v>
      </c>
      <c r="I7" s="7">
        <f t="shared" si="0"/>
        <v>0</v>
      </c>
      <c r="J7" s="55">
        <f t="shared" si="0"/>
        <v>0</v>
      </c>
    </row>
    <row r="8" spans="1:11" x14ac:dyDescent="0.4">
      <c r="A8" s="54">
        <v>1622000</v>
      </c>
      <c r="B8" s="7">
        <v>1623999</v>
      </c>
      <c r="C8" s="67" t="s">
        <v>30</v>
      </c>
      <c r="D8" s="63">
        <v>0.6</v>
      </c>
      <c r="E8" s="48">
        <v>98800</v>
      </c>
      <c r="F8" s="54">
        <f t="shared" si="0"/>
        <v>0</v>
      </c>
      <c r="G8" s="7">
        <f t="shared" si="0"/>
        <v>0</v>
      </c>
      <c r="H8" s="7">
        <f t="shared" si="0"/>
        <v>0</v>
      </c>
      <c r="I8" s="7">
        <f t="shared" si="0"/>
        <v>0</v>
      </c>
      <c r="J8" s="55">
        <f t="shared" si="0"/>
        <v>0</v>
      </c>
    </row>
    <row r="9" spans="1:11" x14ac:dyDescent="0.4">
      <c r="A9" s="54">
        <v>1624000</v>
      </c>
      <c r="B9" s="7">
        <v>1627999</v>
      </c>
      <c r="C9" s="67" t="s">
        <v>31</v>
      </c>
      <c r="D9" s="63">
        <v>0.6</v>
      </c>
      <c r="E9" s="48">
        <v>99600</v>
      </c>
      <c r="F9" s="54">
        <f t="shared" si="0"/>
        <v>0</v>
      </c>
      <c r="G9" s="7">
        <f t="shared" si="0"/>
        <v>0</v>
      </c>
      <c r="H9" s="7">
        <f t="shared" si="0"/>
        <v>0</v>
      </c>
      <c r="I9" s="7">
        <f t="shared" si="0"/>
        <v>0</v>
      </c>
      <c r="J9" s="55">
        <f t="shared" si="0"/>
        <v>0</v>
      </c>
    </row>
    <row r="10" spans="1:11" x14ac:dyDescent="0.4">
      <c r="A10" s="54">
        <v>1628000</v>
      </c>
      <c r="B10" s="7">
        <v>1799999</v>
      </c>
      <c r="C10" s="67" t="s">
        <v>32</v>
      </c>
      <c r="D10" s="63">
        <v>2.4</v>
      </c>
      <c r="E10" s="48">
        <v>100000</v>
      </c>
      <c r="F10" s="54">
        <f t="shared" ref="F10:J12" si="1">IF(AND(F$3&gt;=$A10,F$3&lt;=$B10),INT(F$3/4/1000)*1000*$D10+$E10,0)</f>
        <v>0</v>
      </c>
      <c r="G10" s="7">
        <f t="shared" si="1"/>
        <v>0</v>
      </c>
      <c r="H10" s="7">
        <f t="shared" si="1"/>
        <v>0</v>
      </c>
      <c r="I10" s="7">
        <f t="shared" si="1"/>
        <v>0</v>
      </c>
      <c r="J10" s="55">
        <f t="shared" si="1"/>
        <v>0</v>
      </c>
    </row>
    <row r="11" spans="1:11" x14ac:dyDescent="0.4">
      <c r="A11" s="54">
        <v>1800000</v>
      </c>
      <c r="B11" s="7">
        <v>3599999</v>
      </c>
      <c r="C11" s="67" t="s">
        <v>33</v>
      </c>
      <c r="D11" s="63">
        <v>2.8</v>
      </c>
      <c r="E11" s="48">
        <v>-80000</v>
      </c>
      <c r="F11" s="54">
        <f t="shared" si="1"/>
        <v>0</v>
      </c>
      <c r="G11" s="7">
        <f t="shared" si="1"/>
        <v>0</v>
      </c>
      <c r="H11" s="7">
        <f t="shared" si="1"/>
        <v>0</v>
      </c>
      <c r="I11" s="7">
        <f t="shared" si="1"/>
        <v>0</v>
      </c>
      <c r="J11" s="55">
        <f t="shared" si="1"/>
        <v>0</v>
      </c>
    </row>
    <row r="12" spans="1:11" x14ac:dyDescent="0.4">
      <c r="A12" s="54">
        <v>3600000</v>
      </c>
      <c r="B12" s="7">
        <v>6599999</v>
      </c>
      <c r="C12" s="67" t="s">
        <v>34</v>
      </c>
      <c r="D12" s="63">
        <v>3.2</v>
      </c>
      <c r="E12" s="48">
        <v>-440000</v>
      </c>
      <c r="F12" s="54">
        <f t="shared" si="1"/>
        <v>0</v>
      </c>
      <c r="G12" s="7">
        <f>IF(AND(G$3&gt;=$A12,G$3&lt;=$B12),INT(G$3/4/1000)*1000*$D12+$E12,0)</f>
        <v>0</v>
      </c>
      <c r="H12" s="7">
        <f t="shared" si="1"/>
        <v>0</v>
      </c>
      <c r="I12" s="7">
        <f t="shared" si="1"/>
        <v>0</v>
      </c>
      <c r="J12" s="55">
        <f t="shared" si="1"/>
        <v>0</v>
      </c>
    </row>
    <row r="13" spans="1:11" x14ac:dyDescent="0.4">
      <c r="A13" s="54">
        <v>6600000</v>
      </c>
      <c r="B13" s="7">
        <v>8499999</v>
      </c>
      <c r="C13" s="67" t="s">
        <v>35</v>
      </c>
      <c r="D13" s="63">
        <v>0.9</v>
      </c>
      <c r="E13" s="48">
        <v>-1100000</v>
      </c>
      <c r="F13" s="54">
        <f t="shared" si="0"/>
        <v>0</v>
      </c>
      <c r="G13" s="7">
        <f t="shared" si="0"/>
        <v>0</v>
      </c>
      <c r="H13" s="7">
        <f t="shared" si="0"/>
        <v>0</v>
      </c>
      <c r="I13" s="7">
        <f t="shared" si="0"/>
        <v>0</v>
      </c>
      <c r="J13" s="55">
        <f t="shared" si="0"/>
        <v>0</v>
      </c>
    </row>
    <row r="14" spans="1:11" ht="19.5" thickBot="1" x14ac:dyDescent="0.45">
      <c r="A14" s="56">
        <v>8500000</v>
      </c>
      <c r="B14" s="57">
        <v>20000000</v>
      </c>
      <c r="C14" s="68">
        <v>-1950000</v>
      </c>
      <c r="D14" s="63">
        <v>1</v>
      </c>
      <c r="E14" s="48">
        <v>-1950000</v>
      </c>
      <c r="F14" s="56">
        <f>IF(F$3&gt;=$A14,F$3*$D14+$E14,0)</f>
        <v>0</v>
      </c>
      <c r="G14" s="57">
        <f t="shared" ref="G14:J14" si="2">IF(G$3&gt;=$A14,G$3*$D14+$E14,0)</f>
        <v>0</v>
      </c>
      <c r="H14" s="57">
        <f t="shared" si="2"/>
        <v>0</v>
      </c>
      <c r="I14" s="57">
        <f t="shared" si="2"/>
        <v>0</v>
      </c>
      <c r="J14" s="58">
        <f t="shared" si="2"/>
        <v>0</v>
      </c>
    </row>
    <row r="15" spans="1:11" ht="19.5" thickBot="1" x14ac:dyDescent="0.45">
      <c r="F15" s="59">
        <f>SUM(F4:F14)</f>
        <v>0</v>
      </c>
      <c r="G15" s="60">
        <f>SUM(G4:G14)</f>
        <v>0</v>
      </c>
      <c r="H15" s="60">
        <f>SUM(H4:H14)</f>
        <v>0</v>
      </c>
      <c r="I15" s="60">
        <f>SUM(I4:I14)</f>
        <v>0</v>
      </c>
      <c r="J15" s="61">
        <f>SUM(J4:J14)</f>
        <v>0</v>
      </c>
      <c r="K15" s="47" t="s">
        <v>24</v>
      </c>
    </row>
  </sheetData>
  <phoneticPr fontId="2"/>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25"/>
  <sheetViews>
    <sheetView topLeftCell="C1" workbookViewId="0">
      <selection sqref="A1:J1"/>
    </sheetView>
  </sheetViews>
  <sheetFormatPr defaultRowHeight="18.75" x14ac:dyDescent="0.4"/>
  <cols>
    <col min="2" max="2" width="24.25" bestFit="1" customWidth="1"/>
    <col min="3" max="3" width="25" bestFit="1" customWidth="1"/>
    <col min="4" max="4" width="11.375" bestFit="1" customWidth="1"/>
    <col min="5" max="5" width="10.125" bestFit="1" customWidth="1"/>
    <col min="6" max="6" width="15.25" bestFit="1" customWidth="1"/>
    <col min="7" max="7" width="5.375" bestFit="1" customWidth="1"/>
    <col min="8" max="8" width="10.875" bestFit="1" customWidth="1"/>
    <col min="9" max="13" width="11.875" customWidth="1"/>
    <col min="14" max="14" width="9" bestFit="1" customWidth="1"/>
  </cols>
  <sheetData>
    <row r="1" spans="1:14" ht="19.5" thickBot="1" x14ac:dyDescent="0.45">
      <c r="I1" s="10" t="s">
        <v>67</v>
      </c>
      <c r="J1" s="10"/>
      <c r="K1" s="10"/>
      <c r="L1" s="10"/>
      <c r="M1" s="10"/>
    </row>
    <row r="2" spans="1:14" x14ac:dyDescent="0.4">
      <c r="I2" s="36">
        <v>1</v>
      </c>
      <c r="J2" s="37">
        <v>2</v>
      </c>
      <c r="K2" s="37">
        <v>3</v>
      </c>
      <c r="L2" s="37">
        <v>4</v>
      </c>
      <c r="M2" s="38">
        <v>5</v>
      </c>
      <c r="N2" s="16" t="s">
        <v>0</v>
      </c>
    </row>
    <row r="3" spans="1:14" ht="19.5" thickBot="1" x14ac:dyDescent="0.45">
      <c r="G3" s="11"/>
      <c r="H3" s="10"/>
      <c r="I3" s="39">
        <f>試算表!C32</f>
        <v>0</v>
      </c>
      <c r="J3" s="13">
        <f>試算表!C33</f>
        <v>0</v>
      </c>
      <c r="K3" s="13">
        <f>試算表!C34</f>
        <v>0</v>
      </c>
      <c r="L3" s="13">
        <f>試算表!C35</f>
        <v>0</v>
      </c>
      <c r="M3" s="40">
        <f>試算表!C36</f>
        <v>0</v>
      </c>
      <c r="N3" s="16" t="s">
        <v>72</v>
      </c>
    </row>
    <row r="4" spans="1:14" ht="19.5" thickBot="1" x14ac:dyDescent="0.45">
      <c r="B4" s="17" t="s">
        <v>37</v>
      </c>
      <c r="C4" s="23" t="s">
        <v>38</v>
      </c>
      <c r="D4" s="24" t="s">
        <v>66</v>
      </c>
      <c r="E4" s="24" t="s">
        <v>65</v>
      </c>
      <c r="F4" s="25" t="s">
        <v>64</v>
      </c>
      <c r="G4" s="20"/>
      <c r="H4" s="33"/>
      <c r="I4" s="83">
        <f>試算表!E32</f>
        <v>0</v>
      </c>
      <c r="J4" s="84">
        <f>試算表!E33</f>
        <v>0</v>
      </c>
      <c r="K4" s="84">
        <f>試算表!E34</f>
        <v>0</v>
      </c>
      <c r="L4" s="84">
        <f>試算表!E35</f>
        <v>0</v>
      </c>
      <c r="M4" s="85">
        <f>試算表!E36</f>
        <v>0</v>
      </c>
      <c r="N4" s="16" t="s">
        <v>63</v>
      </c>
    </row>
    <row r="5" spans="1:14" x14ac:dyDescent="0.4">
      <c r="A5" s="9" t="s">
        <v>36</v>
      </c>
      <c r="B5" s="18" t="s">
        <v>39</v>
      </c>
      <c r="C5" s="26" t="s">
        <v>40</v>
      </c>
      <c r="D5" s="14">
        <v>0</v>
      </c>
      <c r="E5" s="14">
        <f>D6-1</f>
        <v>599999</v>
      </c>
      <c r="F5" s="27">
        <v>0</v>
      </c>
      <c r="G5" s="21">
        <v>0</v>
      </c>
      <c r="H5" s="18">
        <v>0</v>
      </c>
      <c r="I5" s="80">
        <f>IF(AND(I$4&gt;=$D5,I$4&lt;=$E5,I$3&lt;65),I$4*$G5+$H5,0)</f>
        <v>0</v>
      </c>
      <c r="J5" s="81">
        <f>IF(AND(J$4&gt;=$D5,J$4&lt;=$E5,J$3&lt;65),J$4*$G5+$H5,0)</f>
        <v>0</v>
      </c>
      <c r="K5" s="81">
        <f t="shared" ref="J5:M9" si="0">IF(AND(K$4&gt;=$D5,K$4&lt;=$E5,K$3&lt;65),K$4*$G5+$H5,0)</f>
        <v>0</v>
      </c>
      <c r="L5" s="81">
        <f t="shared" si="0"/>
        <v>0</v>
      </c>
      <c r="M5" s="82">
        <f t="shared" si="0"/>
        <v>0</v>
      </c>
    </row>
    <row r="6" spans="1:14" x14ac:dyDescent="0.4">
      <c r="B6" s="18" t="s">
        <v>41</v>
      </c>
      <c r="C6" s="26" t="s">
        <v>42</v>
      </c>
      <c r="D6" s="14">
        <v>600000</v>
      </c>
      <c r="E6" s="14">
        <f>D7-1</f>
        <v>1299999</v>
      </c>
      <c r="F6" s="27">
        <v>-600000</v>
      </c>
      <c r="G6" s="21">
        <v>1</v>
      </c>
      <c r="H6" s="34">
        <v>-600000</v>
      </c>
      <c r="I6" s="41">
        <f>IF(AND(I$4&gt;=$D6,I$4&lt;=$E6,I$3&lt;65),I$4*$G6+$H6,0)</f>
        <v>0</v>
      </c>
      <c r="J6" s="14">
        <f>IF(AND(J$4&gt;=$D6,J$4&lt;=$E6,J$3&lt;65),J$4*$G6+$H6,0)</f>
        <v>0</v>
      </c>
      <c r="K6" s="14">
        <f t="shared" si="0"/>
        <v>0</v>
      </c>
      <c r="L6" s="14">
        <f t="shared" si="0"/>
        <v>0</v>
      </c>
      <c r="M6" s="42">
        <f t="shared" si="0"/>
        <v>0</v>
      </c>
    </row>
    <row r="7" spans="1:14" x14ac:dyDescent="0.4">
      <c r="B7" s="18" t="s">
        <v>43</v>
      </c>
      <c r="C7" s="26" t="s">
        <v>44</v>
      </c>
      <c r="D7" s="14">
        <v>1300000</v>
      </c>
      <c r="E7" s="14">
        <f>D8-1</f>
        <v>4099999</v>
      </c>
      <c r="F7" s="27" t="s">
        <v>68</v>
      </c>
      <c r="G7" s="21">
        <v>0.75</v>
      </c>
      <c r="H7" s="34">
        <v>-275000</v>
      </c>
      <c r="I7" s="41">
        <f>IF(AND(I$4&gt;=$D7,I$4&lt;=$E7,I$3&lt;65),I$4*$G7+$H7,0)</f>
        <v>0</v>
      </c>
      <c r="J7" s="14">
        <f t="shared" si="0"/>
        <v>0</v>
      </c>
      <c r="K7" s="14">
        <f>IF(AND(K$4&gt;=$D7,K$4&lt;=$E7,K$3&lt;65),K$4*$G7+$H7,0)</f>
        <v>0</v>
      </c>
      <c r="L7" s="14">
        <f t="shared" si="0"/>
        <v>0</v>
      </c>
      <c r="M7" s="42">
        <f t="shared" si="0"/>
        <v>0</v>
      </c>
    </row>
    <row r="8" spans="1:14" x14ac:dyDescent="0.4">
      <c r="B8" s="18" t="s">
        <v>45</v>
      </c>
      <c r="C8" s="26" t="s">
        <v>46</v>
      </c>
      <c r="D8" s="14">
        <v>4100000</v>
      </c>
      <c r="E8" s="14">
        <f>D9-1</f>
        <v>7699999</v>
      </c>
      <c r="F8" s="27" t="s">
        <v>69</v>
      </c>
      <c r="G8" s="21">
        <v>0.85</v>
      </c>
      <c r="H8" s="34">
        <v>-685000</v>
      </c>
      <c r="I8" s="41">
        <f>IF(AND(I$4&gt;=$D8,I$4&lt;=$E8,I$3&lt;65),I$4*$G8+$H8,0)</f>
        <v>0</v>
      </c>
      <c r="J8" s="14">
        <f t="shared" si="0"/>
        <v>0</v>
      </c>
      <c r="K8" s="14">
        <f>IF(AND(K$4&gt;=$D8,K$4&lt;=$E8,K$3&lt;65),K$4*$G8+$H8,0)</f>
        <v>0</v>
      </c>
      <c r="L8" s="14">
        <f t="shared" si="0"/>
        <v>0</v>
      </c>
      <c r="M8" s="42">
        <f t="shared" si="0"/>
        <v>0</v>
      </c>
    </row>
    <row r="9" spans="1:14" x14ac:dyDescent="0.4">
      <c r="B9" s="18" t="s">
        <v>47</v>
      </c>
      <c r="C9" s="26" t="s">
        <v>48</v>
      </c>
      <c r="D9" s="14">
        <v>7700000</v>
      </c>
      <c r="E9" s="14">
        <f>D10-1</f>
        <v>9999999</v>
      </c>
      <c r="F9" s="27" t="s">
        <v>70</v>
      </c>
      <c r="G9" s="21">
        <v>0.95</v>
      </c>
      <c r="H9" s="34">
        <v>1455000</v>
      </c>
      <c r="I9" s="41">
        <f>IF(AND(I$4&gt;=$D9,I$4&lt;=$E9,I$3&lt;65),I$4*$G9+$H9,0)</f>
        <v>0</v>
      </c>
      <c r="J9" s="14">
        <f t="shared" si="0"/>
        <v>0</v>
      </c>
      <c r="K9" s="14">
        <f>IF(AND(K$4&gt;=$D9,K$4&lt;=$E9,K$3&lt;65),K$4*$G9+$H9,0)</f>
        <v>0</v>
      </c>
      <c r="L9" s="14">
        <f t="shared" si="0"/>
        <v>0</v>
      </c>
      <c r="M9" s="42">
        <f t="shared" si="0"/>
        <v>0</v>
      </c>
    </row>
    <row r="10" spans="1:14" x14ac:dyDescent="0.4">
      <c r="B10" s="18" t="s">
        <v>49</v>
      </c>
      <c r="C10" s="26" t="s">
        <v>50</v>
      </c>
      <c r="D10" s="14">
        <v>10000000</v>
      </c>
      <c r="E10" s="14"/>
      <c r="F10" s="27">
        <v>-1955000</v>
      </c>
      <c r="G10" s="21">
        <v>1</v>
      </c>
      <c r="H10" s="34">
        <v>-1955000</v>
      </c>
      <c r="I10" s="41">
        <f>IF(AND(I$4&gt;=$D10,I$3&lt;65),I$4*$G10+$H10,0)</f>
        <v>0</v>
      </c>
      <c r="J10" s="14">
        <f>IF(AND(J$4&gt;=$D10,J$3&lt;65),J$4*$G10+$H10,0)</f>
        <v>0</v>
      </c>
      <c r="K10" s="14">
        <f>IF(AND(K$4&gt;=$D10,K$3&lt;65),K$4*$G10+$H10,0)</f>
        <v>0</v>
      </c>
      <c r="L10" s="14">
        <f>IF(AND(L$4&gt;=$D10,L$3&lt;65),L$4*$G10+$H10,0)</f>
        <v>0</v>
      </c>
      <c r="M10" s="42">
        <f>IF(AND(M$4&gt;=$D10,M$3&lt;65),M$4*$G10+$H10,0)</f>
        <v>0</v>
      </c>
    </row>
    <row r="11" spans="1:14" x14ac:dyDescent="0.4">
      <c r="A11" s="6" t="s">
        <v>51</v>
      </c>
      <c r="B11" s="19" t="s">
        <v>52</v>
      </c>
      <c r="C11" s="28" t="s">
        <v>53</v>
      </c>
      <c r="D11" s="15">
        <v>0</v>
      </c>
      <c r="E11" s="15">
        <f>D12-1</f>
        <v>1099999</v>
      </c>
      <c r="F11" s="29">
        <v>0</v>
      </c>
      <c r="G11" s="22">
        <v>0</v>
      </c>
      <c r="H11" s="35">
        <v>0</v>
      </c>
      <c r="I11" s="43">
        <f>IF(AND(I$4&gt;=$D11,I$4&lt;=$E11,I$3&gt;=65),I$4*$G11+$H11,0)</f>
        <v>0</v>
      </c>
      <c r="J11" s="15">
        <f t="shared" ref="J11:M15" si="1">IF(AND(J$4&gt;=$D11,J$4&lt;=$E11,J$3&gt;=65),J$4*$G11+$H11,0)</f>
        <v>0</v>
      </c>
      <c r="K11" s="15">
        <f t="shared" si="1"/>
        <v>0</v>
      </c>
      <c r="L11" s="15">
        <f t="shared" si="1"/>
        <v>0</v>
      </c>
      <c r="M11" s="44">
        <f t="shared" si="1"/>
        <v>0</v>
      </c>
    </row>
    <row r="12" spans="1:14" x14ac:dyDescent="0.4">
      <c r="B12" s="19" t="s">
        <v>54</v>
      </c>
      <c r="C12" s="28" t="s">
        <v>55</v>
      </c>
      <c r="D12" s="15">
        <v>1100000</v>
      </c>
      <c r="E12" s="15">
        <f>D13-1</f>
        <v>3299999</v>
      </c>
      <c r="F12" s="29">
        <v>-1100000</v>
      </c>
      <c r="G12" s="22">
        <v>1</v>
      </c>
      <c r="H12" s="35">
        <v>-1100000</v>
      </c>
      <c r="I12" s="43">
        <f t="shared" ref="I12:I15" si="2">IF(AND(I$4&gt;=$D12,I$4&lt;=$E12,I$3&gt;=65),I$4*$G12+$H12,0)</f>
        <v>0</v>
      </c>
      <c r="J12" s="15">
        <f>IF(AND(J$4&gt;=$D12,J$4&lt;=$E12,J$3&gt;=65),J$4*$G12+$H12,0)</f>
        <v>0</v>
      </c>
      <c r="K12" s="15">
        <f t="shared" si="1"/>
        <v>0</v>
      </c>
      <c r="L12" s="15">
        <f t="shared" si="1"/>
        <v>0</v>
      </c>
      <c r="M12" s="44">
        <f t="shared" si="1"/>
        <v>0</v>
      </c>
    </row>
    <row r="13" spans="1:14" x14ac:dyDescent="0.4">
      <c r="B13" s="19" t="s">
        <v>56</v>
      </c>
      <c r="C13" s="28" t="s">
        <v>44</v>
      </c>
      <c r="D13" s="15">
        <v>3300000</v>
      </c>
      <c r="E13" s="15">
        <f>D14-1</f>
        <v>4099999</v>
      </c>
      <c r="F13" s="29" t="s">
        <v>68</v>
      </c>
      <c r="G13" s="22">
        <v>0.75</v>
      </c>
      <c r="H13" s="35">
        <v>-275000</v>
      </c>
      <c r="I13" s="43">
        <f t="shared" si="2"/>
        <v>0</v>
      </c>
      <c r="J13" s="15">
        <f t="shared" si="1"/>
        <v>0</v>
      </c>
      <c r="K13" s="15">
        <f>IF(AND(K$4&gt;=$D13,K$4&lt;=$E13,K$3&gt;=65),K$4*$G13+$H13,0)</f>
        <v>0</v>
      </c>
      <c r="L13" s="15">
        <f t="shared" si="1"/>
        <v>0</v>
      </c>
      <c r="M13" s="44">
        <f t="shared" si="1"/>
        <v>0</v>
      </c>
    </row>
    <row r="14" spans="1:14" x14ac:dyDescent="0.4">
      <c r="B14" s="19" t="s">
        <v>45</v>
      </c>
      <c r="C14" s="28" t="s">
        <v>46</v>
      </c>
      <c r="D14" s="15">
        <v>4100000</v>
      </c>
      <c r="E14" s="15">
        <f>D15-1</f>
        <v>7699999</v>
      </c>
      <c r="F14" s="29" t="s">
        <v>69</v>
      </c>
      <c r="G14" s="22">
        <v>0.85</v>
      </c>
      <c r="H14" s="35">
        <v>-685000</v>
      </c>
      <c r="I14" s="43">
        <f t="shared" si="2"/>
        <v>0</v>
      </c>
      <c r="J14" s="15">
        <f t="shared" si="1"/>
        <v>0</v>
      </c>
      <c r="K14" s="15">
        <f>IF(AND(K$4&gt;=$D14,K$4&lt;=$E14,K$3&gt;=65),K$4*$G14+$H14,0)</f>
        <v>0</v>
      </c>
      <c r="L14" s="15">
        <f t="shared" si="1"/>
        <v>0</v>
      </c>
      <c r="M14" s="44">
        <f t="shared" si="1"/>
        <v>0</v>
      </c>
    </row>
    <row r="15" spans="1:14" x14ac:dyDescent="0.4">
      <c r="B15" s="19" t="s">
        <v>47</v>
      </c>
      <c r="C15" s="28" t="s">
        <v>48</v>
      </c>
      <c r="D15" s="15">
        <v>7700000</v>
      </c>
      <c r="E15" s="15">
        <f>D16-1</f>
        <v>9999999</v>
      </c>
      <c r="F15" s="29" t="s">
        <v>71</v>
      </c>
      <c r="G15" s="22">
        <v>0.95</v>
      </c>
      <c r="H15" s="35">
        <v>-1455000</v>
      </c>
      <c r="I15" s="43">
        <f t="shared" si="2"/>
        <v>0</v>
      </c>
      <c r="J15" s="15">
        <f t="shared" si="1"/>
        <v>0</v>
      </c>
      <c r="K15" s="15">
        <f t="shared" si="1"/>
        <v>0</v>
      </c>
      <c r="L15" s="15">
        <f>IF(AND(L$4&gt;=$D15,L$4&lt;=$E15,L$3&gt;=65),L$4*$G15+$H15,0)</f>
        <v>0</v>
      </c>
      <c r="M15" s="44">
        <f t="shared" si="1"/>
        <v>0</v>
      </c>
    </row>
    <row r="16" spans="1:14" ht="19.5" thickBot="1" x14ac:dyDescent="0.45">
      <c r="B16" s="19" t="s">
        <v>49</v>
      </c>
      <c r="C16" s="30" t="s">
        <v>50</v>
      </c>
      <c r="D16" s="31">
        <v>10000000</v>
      </c>
      <c r="E16" s="31"/>
      <c r="F16" s="32">
        <v>-1955000</v>
      </c>
      <c r="G16" s="22">
        <v>1</v>
      </c>
      <c r="H16" s="35">
        <v>-1955000</v>
      </c>
      <c r="I16" s="45">
        <f>IF(AND(I$4&gt;=$D16,I$3&gt;=65),I$4*$G16+$H16,0)</f>
        <v>0</v>
      </c>
      <c r="J16" s="31">
        <f>IF(AND(J$4&gt;=$D16,J$3&gt;=65),J$4*$G16+$H16,0)</f>
        <v>0</v>
      </c>
      <c r="K16" s="31">
        <f>IF(AND(K$4&gt;=$D16,K$3&gt;=65),K$4*$G16+$H16,0)</f>
        <v>0</v>
      </c>
      <c r="L16" s="31">
        <f>IF(AND(L$4&gt;=$D16,L$3&gt;=65),L$4*$G16+$H16,0)</f>
        <v>0</v>
      </c>
      <c r="M16" s="46">
        <f>IF(AND(M$4&gt;=$D16,M$3&gt;=65),M$4*$G16+$H16,0)</f>
        <v>0</v>
      </c>
    </row>
    <row r="17" spans="8:14" ht="19.5" thickBot="1" x14ac:dyDescent="0.45">
      <c r="H17" s="12"/>
      <c r="I17" s="77">
        <f>SUM(I5:I16)</f>
        <v>0</v>
      </c>
      <c r="J17" s="78">
        <f>SUM(J5:J16)</f>
        <v>0</v>
      </c>
      <c r="K17" s="78">
        <f>SUM(K5:K16)</f>
        <v>0</v>
      </c>
      <c r="L17" s="78">
        <f>SUM(L5:L16)</f>
        <v>0</v>
      </c>
      <c r="M17" s="79">
        <f>SUM(M5:M16)</f>
        <v>0</v>
      </c>
      <c r="N17" s="47" t="s">
        <v>25</v>
      </c>
    </row>
    <row r="18" spans="8:14" x14ac:dyDescent="0.4">
      <c r="H18" s="12"/>
      <c r="I18" s="12"/>
      <c r="J18" s="12"/>
      <c r="K18" s="12"/>
      <c r="L18" s="12"/>
      <c r="M18" s="12"/>
      <c r="N18" s="12"/>
    </row>
    <row r="19" spans="8:14" x14ac:dyDescent="0.4">
      <c r="H19" s="12"/>
      <c r="I19" s="12"/>
      <c r="J19" s="12"/>
      <c r="K19" s="12"/>
      <c r="L19" s="12"/>
      <c r="M19" s="12"/>
      <c r="N19" s="12"/>
    </row>
    <row r="20" spans="8:14" x14ac:dyDescent="0.4">
      <c r="H20" s="12"/>
      <c r="I20" s="12"/>
      <c r="J20" s="12"/>
      <c r="K20" s="12"/>
      <c r="L20" s="12"/>
      <c r="M20" s="12"/>
      <c r="N20" s="12"/>
    </row>
    <row r="21" spans="8:14" x14ac:dyDescent="0.4">
      <c r="H21" s="12"/>
      <c r="I21" s="12"/>
      <c r="J21" s="12"/>
      <c r="K21" s="12"/>
      <c r="L21" s="12"/>
      <c r="M21" s="12"/>
      <c r="N21" s="12"/>
    </row>
    <row r="22" spans="8:14" x14ac:dyDescent="0.4">
      <c r="H22" s="12"/>
      <c r="I22" s="12"/>
      <c r="J22" s="12"/>
      <c r="K22" s="12"/>
      <c r="L22" s="12"/>
      <c r="M22" s="12"/>
      <c r="N22" s="12"/>
    </row>
    <row r="23" spans="8:14" x14ac:dyDescent="0.4">
      <c r="H23" s="12"/>
      <c r="I23" s="12"/>
      <c r="J23" s="12"/>
      <c r="K23" s="12"/>
      <c r="L23" s="12"/>
      <c r="M23" s="12"/>
      <c r="N23" s="12"/>
    </row>
    <row r="24" spans="8:14" x14ac:dyDescent="0.4">
      <c r="H24" s="12"/>
      <c r="I24" s="12"/>
      <c r="J24" s="12"/>
      <c r="K24" s="12"/>
      <c r="L24" s="12"/>
      <c r="M24" s="12"/>
      <c r="N24" s="12"/>
    </row>
    <row r="25" spans="8:14" x14ac:dyDescent="0.4">
      <c r="H25" s="12"/>
      <c r="I25" s="12"/>
      <c r="J25" s="12"/>
      <c r="K25" s="12"/>
      <c r="L25" s="12"/>
      <c r="M25" s="12"/>
      <c r="N25" s="12"/>
    </row>
  </sheetData>
  <phoneticPr fontId="2"/>
  <pageMargins left="0.7" right="0.7" top="0.75" bottom="0.75" header="0.3" footer="0.3"/>
  <pageSetup paperSize="9" orientation="portrait" r:id="rId1"/>
</worksheet>
</file>